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66925"/>
  <mc:AlternateContent xmlns:mc="http://schemas.openxmlformats.org/markup-compatibility/2006">
    <mc:Choice Requires="x15">
      <x15ac:absPath xmlns:x15ac="http://schemas.microsoft.com/office/spreadsheetml/2010/11/ac" url="https://camarabquilla-my.sharepoint.com/personal/dfontalvo_camarabaq_org_co/Documents/Escritorio/"/>
    </mc:Choice>
  </mc:AlternateContent>
  <xr:revisionPtr revIDLastSave="1058" documentId="13_ncr:1_{886B56CF-4BA3-4232-A8D3-81917645A0A2}" xr6:coauthVersionLast="47" xr6:coauthVersionMax="47" xr10:uidLastSave="{3EC4379A-282C-4ED6-A7A4-E8922C30C12D}"/>
  <bookViews>
    <workbookView xWindow="-110" yWindow="-110" windowWidth="19420" windowHeight="10420" firstSheet="2" activeTab="2" xr2:uid="{4206A49F-2B55-4C85-B647-F7423E8A7456}"/>
  </bookViews>
  <sheets>
    <sheet name="OKR KR" sheetId="4" state="hidden" r:id="rId1"/>
    <sheet name="Palancas II" sheetId="11" state="hidden" r:id="rId2"/>
    <sheet name="PAT 2023" sheetId="1" r:id="rId3"/>
    <sheet name="Consolidado" sheetId="5" state="hidden" r:id="rId4"/>
    <sheet name="Detalle Act" sheetId="7" state="hidden" r:id="rId5"/>
  </sheets>
  <definedNames>
    <definedName name="_xlnm._FilterDatabase" localSheetId="2" hidden="1">'PAT 2023'!$A$1:$P$38</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I19" i="1"/>
  <c r="G35" i="1"/>
  <c r="J6" i="1" l="1"/>
  <c r="I18" i="1"/>
  <c r="I32" i="1"/>
  <c r="I23" i="1"/>
  <c r="I16" i="1"/>
  <c r="I17" i="1"/>
  <c r="H15" i="1" l="1"/>
  <c r="I12" i="1"/>
  <c r="I14" i="1"/>
  <c r="I11" i="1"/>
  <c r="I3" i="1"/>
  <c r="I27" i="1"/>
  <c r="I10" i="1"/>
  <c r="I8" i="1"/>
  <c r="I25" i="1"/>
  <c r="I24" i="1"/>
  <c r="I7" i="1"/>
  <c r="I13" i="1"/>
  <c r="I4" i="1"/>
  <c r="I2" i="1"/>
  <c r="I5" i="1"/>
  <c r="P3" i="1"/>
  <c r="P5" i="1"/>
  <c r="P7" i="1"/>
  <c r="P8" i="1"/>
  <c r="P10" i="1"/>
  <c r="P11" i="1"/>
  <c r="P12" i="1"/>
  <c r="P14" i="1"/>
  <c r="P20" i="1"/>
  <c r="P21" i="1"/>
  <c r="P29" i="1"/>
  <c r="P30" i="1"/>
  <c r="P33" i="1"/>
  <c r="P37" i="1"/>
  <c r="P2" i="1"/>
  <c r="G28" i="1"/>
  <c r="I28" i="1" s="1"/>
  <c r="K9" i="1"/>
  <c r="L9" i="1"/>
  <c r="L6" i="1"/>
  <c r="P6" i="1" s="1"/>
  <c r="L4" i="1"/>
  <c r="P4" i="1" s="1"/>
  <c r="G6" i="1"/>
  <c r="I6" i="1" s="1"/>
  <c r="P9" i="1" l="1"/>
  <c r="J31" i="1"/>
  <c r="P31" i="1" s="1"/>
  <c r="J13" i="1" l="1"/>
  <c r="P13" i="1" s="1"/>
  <c r="G9" i="1" l="1"/>
  <c r="H9" i="1" s="1"/>
  <c r="J22" i="1" l="1"/>
  <c r="P22" i="1" s="1"/>
  <c r="J23" i="1" l="1"/>
  <c r="L23" i="1" l="1"/>
  <c r="L15" i="1"/>
  <c r="P23" i="1" l="1"/>
  <c r="P15" i="1"/>
  <c r="F37" i="7"/>
  <c r="F41" i="7"/>
  <c r="F13" i="7"/>
  <c r="E13" i="7"/>
  <c r="E40" i="7"/>
  <c r="F22" i="7"/>
  <c r="F21" i="7"/>
  <c r="F5" i="7"/>
  <c r="F17" i="7"/>
  <c r="F39" i="7"/>
  <c r="F16" i="7"/>
  <c r="F14" i="7"/>
  <c r="F12" i="7"/>
  <c r="G25" i="7"/>
  <c r="F8" i="7"/>
  <c r="F28" i="7"/>
  <c r="F3" i="7"/>
  <c r="F33" i="7"/>
  <c r="L32" i="1"/>
  <c r="P32" i="1" s="1"/>
  <c r="J35" i="1" l="1"/>
  <c r="P35" i="1" s="1"/>
  <c r="J38" i="1"/>
  <c r="P38" i="1" s="1"/>
  <c r="J36" i="1"/>
  <c r="P36" i="1" s="1"/>
  <c r="J26" i="1"/>
  <c r="J24" i="1"/>
  <c r="K19" i="1"/>
  <c r="J16" i="1"/>
  <c r="P19" i="1" l="1"/>
  <c r="L25" i="1"/>
  <c r="P25" i="1" s="1"/>
  <c r="L24" i="1"/>
  <c r="L26" i="1"/>
  <c r="P26" i="1" s="1"/>
  <c r="L17" i="1"/>
  <c r="P17" i="1" s="1"/>
  <c r="L18" i="1"/>
  <c r="P18" i="1" s="1"/>
  <c r="L16" i="1"/>
  <c r="J34" i="1"/>
  <c r="P34" i="1" s="1"/>
  <c r="P24" i="1" l="1"/>
  <c r="P16" i="1"/>
  <c r="F23" i="5" l="1"/>
  <c r="J28" i="1"/>
  <c r="E23" i="5"/>
  <c r="D23" i="5"/>
  <c r="C23" i="5"/>
  <c r="B23" i="5"/>
  <c r="K7" i="4"/>
  <c r="J8" i="4"/>
  <c r="J6" i="4"/>
  <c r="I10" i="4"/>
  <c r="L28" i="1" l="1"/>
  <c r="P28" i="1" s="1"/>
  <c r="L27" i="1"/>
  <c r="G13" i="5"/>
  <c r="E13" i="5"/>
  <c r="J13" i="5"/>
  <c r="I13" i="5"/>
  <c r="H13" i="5"/>
  <c r="F9" i="5"/>
  <c r="F13" i="5" s="1"/>
  <c r="P27" i="1" l="1"/>
  <c r="C13" i="5"/>
  <c r="D13" i="5"/>
  <c r="B13" i="5"/>
  <c r="G14" i="5"/>
  <c r="J14" i="5"/>
  <c r="D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Fontalvo Balza</author>
  </authors>
  <commentList>
    <comment ref="G7" authorId="0" shapeId="0" xr:uid="{6B8D2BB1-B6DF-48F6-A200-991DB3DA9F2F}">
      <text>
        <r>
          <rPr>
            <b/>
            <sz val="9"/>
            <color indexed="81"/>
            <rFont val="Tahoma"/>
            <family val="2"/>
          </rPr>
          <t>David Fontalvo Balza:</t>
        </r>
        <r>
          <rPr>
            <sz val="9"/>
            <color indexed="81"/>
            <rFont val="Tahoma"/>
            <family val="2"/>
          </rPr>
          <t xml:space="preserve">
Antes 110 de habilidades generenciales
</t>
        </r>
      </text>
    </comment>
    <comment ref="C24" authorId="0" shapeId="0" xr:uid="{35B88D01-943F-4098-A9D5-CA1DADBBD62E}">
      <text>
        <r>
          <rPr>
            <b/>
            <sz val="9"/>
            <color indexed="81"/>
            <rFont val="Tahoma"/>
            <family val="2"/>
          </rPr>
          <t>David Fontalvo Balza:</t>
        </r>
        <r>
          <rPr>
            <sz val="9"/>
            <color indexed="81"/>
            <rFont val="Tahoma"/>
            <family val="2"/>
          </rPr>
          <t xml:space="preserve">
FortaleSER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Fontalvo Balza</author>
  </authors>
  <commentList>
    <comment ref="E6" authorId="0" shapeId="0" xr:uid="{6F01B566-6D9B-4D45-B7D2-6482A23BA868}">
      <text>
        <r>
          <rPr>
            <b/>
            <sz val="9"/>
            <color indexed="81"/>
            <rFont val="Tahoma"/>
            <family val="2"/>
          </rPr>
          <t>David Fontalvo Balza:</t>
        </r>
        <r>
          <rPr>
            <sz val="9"/>
            <color indexed="81"/>
            <rFont val="Tahoma"/>
            <family val="2"/>
          </rPr>
          <t xml:space="preserve">
Antes 110 de habilidades generenciales</t>
        </r>
      </text>
    </comment>
  </commentList>
</comments>
</file>

<file path=xl/sharedStrings.xml><?xml version="1.0" encoding="utf-8"?>
<sst xmlns="http://schemas.openxmlformats.org/spreadsheetml/2006/main" count="582" uniqueCount="273">
  <si>
    <t xml:space="preserve">Estrategia </t>
  </si>
  <si>
    <t xml:space="preserve">MEGA </t>
  </si>
  <si>
    <t>Meta a 2030</t>
  </si>
  <si>
    <t xml:space="preserve">OKR </t>
  </si>
  <si>
    <t>KR</t>
  </si>
  <si>
    <t xml:space="preserve">INDICADORES </t>
  </si>
  <si>
    <t>META 2023</t>
  </si>
  <si>
    <t>DETALLE</t>
  </si>
  <si>
    <t>2011 - 2022</t>
  </si>
  <si>
    <t xml:space="preserve">Cobertura de los Servicios Registrales </t>
  </si>
  <si>
    <t>Mantener la cobertura de los servicios Registrales</t>
  </si>
  <si>
    <t xml:space="preserve">1. Mayor Cobertura,  Eficiencia  Y Transaccionalidad de los servicios Registrales </t>
  </si>
  <si>
    <t>Facilitar a 89.534  Matriculados el acceso a Servicios de registros.</t>
  </si>
  <si>
    <t>No de Matriculados y renovados atendidos en servicios registrales</t>
  </si>
  <si>
    <t>Aumento del 8,6%</t>
  </si>
  <si>
    <t>Afiliados activos 1500</t>
  </si>
  <si>
    <t>No de Afiliados Activos</t>
  </si>
  <si>
    <t>Aumento del 14,6%</t>
  </si>
  <si>
    <t xml:space="preserve">Eficciencia y transacionalidad de los servicios Registrales </t>
  </si>
  <si>
    <t>Aumento de la eficiencia operacional  del 20%</t>
  </si>
  <si>
    <t xml:space="preserve">Disminución del costo de servicios registrales </t>
  </si>
  <si>
    <t xml:space="preserve">% de reducción del Costo de Servicios Registrales </t>
  </si>
  <si>
    <t>(-5)%</t>
  </si>
  <si>
    <t>Costo del Registro = Costos y gastos asociados al registro / Cantidad de transacciones en el registro
% variación del costo del registro= (Costo periodo  actual – Costo periodo anterior) / Costo periodo anterior</t>
  </si>
  <si>
    <t>2022-2030</t>
  </si>
  <si>
    <t>Agenciamiento del Desarrollo</t>
  </si>
  <si>
    <t>Densificación del portafolio de servicios en función del impacto de la CCBAQ en el territorio</t>
  </si>
  <si>
    <t>2. Desarrollar un portafolio de servicios según las necesidades de los agentes del territorio</t>
  </si>
  <si>
    <t>Diversificación y desarrollo de nuevos Proyectos y/o servicios por palanca ( Financiación, internacionalización, H. Gerenciales y apropiación tecnologica).</t>
  </si>
  <si>
    <t>No de Proyectos y/o servicios desarrollados por palanca</t>
  </si>
  <si>
    <t xml:space="preserve">internacionalizacion, apropiacion tecnologica, financiacion y habilidades gerenciales </t>
  </si>
  <si>
    <t>Relacionamiento cercano con al menos el 70% de las empresas que hacen parte de las iniciativas Cluster</t>
  </si>
  <si>
    <t>3. Incrementar el consumo de servicios/proyectos  en empresas Micros, PequeñAS y Grandes</t>
  </si>
  <si>
    <t>Relacionamiento permanente con el mapa relacional del territorio por cada agente (Empresarios)</t>
  </si>
  <si>
    <t>Incremento en el numero de empresas de los clusters que consumen productos y servicios de la CCB</t>
  </si>
  <si>
    <t>Consumo actual de 4.333 se planea llegar a 5000</t>
  </si>
  <si>
    <t xml:space="preserve">Vincular al menos el 80% de las empresas con mayor potencial de crecimiento off Cluster a programas para la facilitación de los negocios y acceso a mecanismos de financiación </t>
  </si>
  <si>
    <t>Incremento del % de empresas que consumen productos y servicios de la CCB fuera de los clusters</t>
  </si>
  <si>
    <t>6532 Empresas no son cluster se planea llegar a 6726</t>
  </si>
  <si>
    <t>Desarrollar el ecosistema de inclusión para el fortalecimiento de la economía social solidaria</t>
  </si>
  <si>
    <t>4. Desarrollar  plataformas e iniciativas para densificar el ecosistema de consolidacion de la economia Solidaria y Social</t>
  </si>
  <si>
    <t>Relacionamiento permanente con el mapa relacional del territorio por cada agente ( Economia social y solidaria)</t>
  </si>
  <si>
    <t>No de unidades productivas  de economia social y solidaria que participan en plataformas de consolidación.</t>
  </si>
  <si>
    <t xml:space="preserve">A traves ed plataformas o asociaciones </t>
  </si>
  <si>
    <t xml:space="preserve">Tener una agenda de relacionamiento vibrante y consistente con las instituciones que están relacionadas con los distintos agentes del territorio </t>
  </si>
  <si>
    <t xml:space="preserve">5. Consolidación de alianza e iniciativas con las instituciones del ecosistema </t>
  </si>
  <si>
    <t>Relacionamiento permanente con el mapa relacional del territorio por cada agente ( instituciones)</t>
  </si>
  <si>
    <t>No de iniciativas de activación territorial</t>
  </si>
  <si>
    <t>*Propuesta de iniciativas de integración regional gestionada ante nuestros legisladores construido conjuntamente con actores de la región caribe.
*Propuesta de proyectos y/o programas claves para el Departamento del Atlántico para el Plan de Desarrollo Nacional que contenga los temas prioritarios del entorno  de los negocios.
*Propuesta técnica y/o jurídica que fortalezca el Desarrollo de actividades económicas priorizadas en los procesos de Planeación y Ordenamiento territorial municipales o departamentales.
*Coadyuvar la gestión de una figura jurídica para el manejo del puerto de Barranquilla que logre la estabilidad del Canal navegable ante el Gobierno Nacional.
Proceso de innovación pública gestionado en un Municipio del Área Metropolitana de Barranquilla en pro del Desarrollo de las actividades empresariales en el municipio.</t>
  </si>
  <si>
    <t>No de empresas participantes en iniciativas de activación territorial</t>
  </si>
  <si>
    <t>500 empresarios y ciudadanos participando con propuestas de planeación de entidades públicas. ( p.e Planes de ordenamiento de municipios del Área Metropolitana, programas de gobierno de nuevos alcaldes o gobernadores)
200 entidades y fundaciones gestionadas  para participar en iniciativas sociales del territorio.
1.000 empresarios del Departamento del Atlántico  impactados a través de  estrategias público-privadas para reducir el delito de extorsión que afecta la actividad del tejido empresarial</t>
  </si>
  <si>
    <t xml:space="preserve">Posicionamiento Institucional y  escalamiento de la llegada a los empresarios para la  prestación de servicios </t>
  </si>
  <si>
    <t>Satisfaccion del cliente</t>
  </si>
  <si>
    <t>6. Mejorar la comunicación y experiencia del empresario</t>
  </si>
  <si>
    <t>Lograr niveles de satisfacción del cliente por encima del 95%.</t>
  </si>
  <si>
    <t>Satisfacción del cliente Externo</t>
  </si>
  <si>
    <t>Recomendación de clientes</t>
  </si>
  <si>
    <t>Lograr niveles de recomendación superiores al 80% .</t>
  </si>
  <si>
    <t>Nivel de Recomendación NPS</t>
  </si>
  <si>
    <t>Contactabilidad</t>
  </si>
  <si>
    <t xml:space="preserve">Llegar a 200.000 empresarios ofreciendo el portafolio de servicios. </t>
  </si>
  <si>
    <t>Numero de contactos empresariales</t>
  </si>
  <si>
    <t xml:space="preserve">Conexión con la marca CCB </t>
  </si>
  <si>
    <t>Incrementar el Engagement en un mínimo de 22 % ( de 0,018 % a 0,022%)</t>
  </si>
  <si>
    <t>Engagement por seguidor</t>
  </si>
  <si>
    <t>El crecimiento representa un 22%, Actualmente el valor representa el 0,020 de engagement por usuario.</t>
  </si>
  <si>
    <t>AGRICULTURA</t>
  </si>
  <si>
    <t>TURISMO</t>
  </si>
  <si>
    <t>INDUSTRIA</t>
  </si>
  <si>
    <t>EDUCACIÓN</t>
  </si>
  <si>
    <t>INCLUSIÓN SOCIAL</t>
  </si>
  <si>
    <t>DESARROLLO DE LA ECONOMÍA REGIONAL</t>
  </si>
  <si>
    <t>ECONOMÍA SOCIAL Y SOLIDARIA (F)</t>
  </si>
  <si>
    <t>EMPRENDIMIENTO</t>
  </si>
  <si>
    <t>PRODUCTIVIDAD</t>
  </si>
  <si>
    <t>INNOVACIÓN</t>
  </si>
  <si>
    <t>INTERNACIONALIZACIÓN</t>
  </si>
  <si>
    <t>ECONOMÍA NARANJA</t>
  </si>
  <si>
    <t>OTRAS DIMENSIONES</t>
  </si>
  <si>
    <t>DIGITALIZACIÓN</t>
  </si>
  <si>
    <t>TOTAL</t>
  </si>
  <si>
    <t>Etiquetas de fila</t>
  </si>
  <si>
    <t>Cuenta de ADENDA NUEVA</t>
  </si>
  <si>
    <t>Suma de META
NUMERICA EMPRESARIOS</t>
  </si>
  <si>
    <t>Suma de RECURSOS PUBLICOS</t>
  </si>
  <si>
    <t>Suma de RECURSOS PRIVADOS</t>
  </si>
  <si>
    <t>1. Ruta de apoyo al desarrollo de las microempresas (FortaleSER)</t>
  </si>
  <si>
    <t>10. Inclusión financiera para las microempresas y las unidades económicas de la Economía Popular y Comunitaria.</t>
  </si>
  <si>
    <t>11. Innovación empresarial.</t>
  </si>
  <si>
    <t>13. Fabricas de internacionalización.</t>
  </si>
  <si>
    <t>14. Atención y acompañamiento a emprendedores.</t>
  </si>
  <si>
    <t>15. Promoción de la inversión extranjera directa.</t>
  </si>
  <si>
    <t>16. Turismo.</t>
  </si>
  <si>
    <t>2. Fábricas de productividad y sostenibilidad.</t>
  </si>
  <si>
    <t>3. Programa de economía circular para mipymes y unidades económicas de la economía popular y comunitaria ECOS.</t>
  </si>
  <si>
    <t>4. Centros de reindustrialización Zascas.</t>
  </si>
  <si>
    <t>5. Conglomerados empresariales o clúster.</t>
  </si>
  <si>
    <t>7. Impulso a las unidades económicas de la economía popular y comunitaria (EPC), incluyendo poblaciones vulnerables y pueblos étnicos.</t>
  </si>
  <si>
    <t>9. Arreglos institucionales para la Reindustrialización.</t>
  </si>
  <si>
    <t>6. Simplificación y automatización de trámites</t>
  </si>
  <si>
    <t>Total general</t>
  </si>
  <si>
    <t>PRODUCTOS</t>
  </si>
  <si>
    <t>NUEVA GUIA - SUPERSOCIEDADES</t>
  </si>
  <si>
    <t>ADENDA NUEVA - MINISTERIO</t>
  </si>
  <si>
    <t>NOMBRE ACTIVIDAD</t>
  </si>
  <si>
    <t>DESCRIPCION ACTIVIDAD</t>
  </si>
  <si>
    <t>AREA RESPONSABLE</t>
  </si>
  <si>
    <t>CENTRO COSTO</t>
  </si>
  <si>
    <t>META
NUMERICA EMPRESARIOS</t>
  </si>
  <si>
    <t>RECURSOS PUBLICOS</t>
  </si>
  <si>
    <t>RECURSOS PRIVADOS</t>
  </si>
  <si>
    <t>NOMINA PERSONAL PROGRAMAS</t>
  </si>
  <si>
    <t>¿El objetivo de esta actividad es que el comerciante mejore o crezca en su negocio? SI/ NO</t>
  </si>
  <si>
    <t>¿Este programa tiene algún costo para el comerciante?  SI/ NO</t>
  </si>
  <si>
    <t>¿Hay un seguimiento posterior a la culminación de la actividad (Programa)? SI/ NO</t>
  </si>
  <si>
    <t>Total de Recursos</t>
  </si>
  <si>
    <t>Realizar Programa Caribe Exponencial</t>
  </si>
  <si>
    <t>Programa de aceleración para impulsar el tejido empresarial y crear una dinámica de crecimiento y desarrollo económico en la región Caribe, en alianza con Uninorte, Fun Promigas, FSD, Fundesarrollo, ProBquilla y Andi Seccional Atco y Magdalena, con el fin de impactar (10) empresas, posicionando a Barranquilla como centro de emprendimiento de alto impacto.</t>
  </si>
  <si>
    <t>Gestión de Proyectos y Medición de Impacto</t>
  </si>
  <si>
    <t>SI</t>
  </si>
  <si>
    <t>NO</t>
  </si>
  <si>
    <t>Realizar Programa Endeavor</t>
  </si>
  <si>
    <t>Aunar esfuerzos entre ENDEAVOR y LA CÁMARA para: 
a) Fortalecer y Acelerar (15) emprendimientos de alto potencial en empresas que escalen y se conviertan en jugadores nacionales, regionales y globales.
b) Fortalecer y Escalar (10) emprendimientos de alto potencial en empresas que escalen y se conviertan en jugadores nacionales, regionales y globales.</t>
  </si>
  <si>
    <t>Realizar Programa Impulsa Tu Empresa 3.0. Technoserve</t>
  </si>
  <si>
    <t>Apoyar (45) empresas en Barranquilla y el Atlántico a mejorar sus resultados económicos a través de un proceso de aceleración empresarial que se desarrollará en el marco de la participación en el programa IMPULSA TU EMPRESA 3.0, programa de aceleración empresarial que busca apoyar a las empresas para que sean más competitivas, rentables y mejoren en indicadores del programa (incremento en ventas, empleos generados, acceso a financiamiento, enlaces comerciales).</t>
  </si>
  <si>
    <t>Realizar Programa Fabricas de Productividad</t>
  </si>
  <si>
    <t>Aunar esfuerzos técnicos, administrativos y financieros entre COLOMBIA PRODUCTIVA y la CÁMARA para brindar asistencia técnica especializada a (100) empresas del programa “Fábricas de Productividad”.</t>
  </si>
  <si>
    <t>Realizar Programa Negocios más Productivos</t>
  </si>
  <si>
    <t>Aumentar la productividad de empresas del Departamento del Atlántico a través del acompañamiento y asistencia técnica en una de ocho (8) posibles líneas de intervención del programa: Gestión de calidad, Transformación digital, Gestión comercial, Logística, Productividad Laboral, Desarrollo de Productos, Productividad Operacional, Sostenibilidad Ambiental y Eficiencia Energética.</t>
  </si>
  <si>
    <t>Impulso a la política de Reindustrialización</t>
  </si>
  <si>
    <t>Promover la reindustrialización, a partir de servicios empresariales que prestan asistencia técnica, desarrollo y diferenciación de productos, gestión de proveeduría, desarrollo de mercados, gestión empresarial, servicios de información y formación.</t>
  </si>
  <si>
    <t>Realizar Programa de Exporta a Toda Marcha</t>
  </si>
  <si>
    <t>Apoyo a la internacionalización de (30) empresas del sector servicios en el departamento del atlántico, mediante el diseño e implementación de una ruta de intervención para el fortalecimiento de las capacidades técnicas, brindando herramientas y acompañamiento a las empresas en la comercialización de sus servicios en los mercados internacionales de manera exitosa.</t>
  </si>
  <si>
    <t>Realizar Programa de Negocios más Internacionales</t>
  </si>
  <si>
    <t>Programa de Internacionalización: Acompañamiento a empresas de todos los segmentos  para acelerar los procesos que les permitan acceder a mercados internacionales en el corto y mediano plazo. Brindar asesoria grupal o individual a los empresarios para la obtención de certificaciones requeridas para la exportación de sus productos o servicios de acuerdo con el sector al que pertenecen y el mercado de destino. Esta actividad será acompañada con programas B2B.</t>
  </si>
  <si>
    <t>Realizar Programa de Seminario Oportunidades Comerciales</t>
  </si>
  <si>
    <t>Se definirán  mercados destinos sobre los cuales se deben desarrollar oportunidades comerciales que adicionalmente ayuden en la captación de (100) empresarios que desean iniciar su proceso formativo en materia de internacionalización.</t>
  </si>
  <si>
    <t>Realizar Programa de Atlantico Acelera</t>
  </si>
  <si>
    <t>El proyecto propuesto tiene como propósito resolver fallas de mercado relacionadas con el vacío de capital para el financiamiento en las etapas tempranas del proceso empresarial que afecta el nivel de desarrollo tecnológico que es incorporado por las Empresas de Alto Potencial Innovador (EAPI) en sus iniciativas.</t>
  </si>
  <si>
    <t>Realizar Programa de Conexión Financiera</t>
  </si>
  <si>
    <t>Esta actividad permitirá a los empresarios por medio de herramientas tecnologícas, identificar los productos del ecosistema financiero con relación a sus necesidades de financiación, mediante un diagnostico digital.</t>
  </si>
  <si>
    <t>Realizar Programa de apoyo al desarrollo de la microempresa.</t>
  </si>
  <si>
    <t>Programa de Fortalecimiento empresarial dirigido a empresas micro.</t>
  </si>
  <si>
    <t>Realizar Programa Espacios De Mentalidad y Cultura</t>
  </si>
  <si>
    <t>Apoyar al desarrollo sostenible y la eficiencia energética en la región Caribe de Colombia.</t>
  </si>
  <si>
    <t>Apoyar la transición energética y la adopción de prácticas sostenibles por parte del tejido productivo (mipymes/pymes) de la región del Caribe colombiano. El objetivo es acompañar 300 empresas en el departamento del Atlántico. Aporte CCB relacionado con proyecto al Invest.</t>
  </si>
  <si>
    <t>Relacionamiento Empresarial de Avanzada</t>
  </si>
  <si>
    <t>Diseñar hoja de ruta de internacionalización para Cluster Salud y Farma.</t>
  </si>
  <si>
    <t>Diseñar hoja de ruta de internacionalización para Cluster Espacios Habitables.</t>
  </si>
  <si>
    <t>Implementar procesos de gestión de la calidad para el acceso a investigaciones clínicas con miras a la generación de nuevos negocios en el Cluster Salud y Farma del Atlántico.</t>
  </si>
  <si>
    <t>Implementar la puesta en marcha del evento Caribe BIZ Forum</t>
  </si>
  <si>
    <t>Realizar la versión 2023 del evento Caribe BIZ Forum, donde se  reunen empresarios en busca de conocimiento aplicado de las tendencias mundiales, en el marco de una economía emergente que ofrece muchas oportunidades. En 2023 nos enfocaremos en Reactivación Empresarial, fortaleciendo las estrategias de comercialización, con miras a incrementar la participación a nivel local, nacional e internacional, a través del diseño de experiencias memorables.</t>
  </si>
  <si>
    <t>Conexiones Empresariales</t>
  </si>
  <si>
    <t>Gestionar la logística y apoyo para eventos empresariales</t>
  </si>
  <si>
    <t>Gestionar y coordinar encuentros empresariales y espacios de formación  incluyendo la planeación, logística y diseño de experiencias enriquecedoras para el empresario.</t>
  </si>
  <si>
    <t>Incentivar la promoción de la oferta de programas, proyectos y servicios de la CCBaq para generación de consumo y venta</t>
  </si>
  <si>
    <t>Incrementar la visibilidad de programas, proyectos y servicios de la CCBaq  en los emprendedores y empresarios, mediante los diferentes canales y a partir de las palancas estratégicas segmentadas por tipo de audiencias: Clústers​, Empresarios​. Economía Social y Solidaria​ y Servicios Registrales. Llegar a 200.000 empresarios  a través de los distintos canales.</t>
  </si>
  <si>
    <t>Simplificación y automatización de trámites</t>
  </si>
  <si>
    <t>Rediseñar e implementar mejoras en los procesos registrales, con el objetivo de automatizar y simplificar los trámites para facilitar el quehacer de los comerciantes y empresarios. 
Ampliar la cobertura geográfica de la Ventanilla Única Empresarial en el Departamento del Atlántico.</t>
  </si>
  <si>
    <t>Servicios Registrales y Transformación Digital</t>
  </si>
  <si>
    <t>AGRICULTURA Y AGROINDUSTRIA</t>
  </si>
  <si>
    <t>Realizar gestión de proyectos para el clúster de alimentos</t>
  </si>
  <si>
    <t>Realizar programa Crecer es Posible</t>
  </si>
  <si>
    <t>Economía Social y Solidaria</t>
  </si>
  <si>
    <t>Realizar Espacios de Relacionamiento Local: Ferias Comerciales y Encuentros Regionales</t>
  </si>
  <si>
    <t>Vincular a (350) unidades productivas a ferias comerciales, o en el encuentros regionales para que expongan sus productos y/o servicios y aumenten su visibilidad  ante potenciales compradores .</t>
  </si>
  <si>
    <t>Fortalecer la economía social solidaria</t>
  </si>
  <si>
    <t>Asesorar, Capacitar y/o Vincular a por lo menos (50) unidades productivas a espacios de relacionamiento financiero o comercial fomentando el fortalecimiento de la economía social solidaria.
Realizar asesorías y capacitaciones individuales y/o grupales a (100) unidades productivas en temas relacionados con alfabetización digital, familiarizandolos con herramientas y aplicaciones tecnológicas.</t>
  </si>
  <si>
    <t>SERVICIOS</t>
  </si>
  <si>
    <t>Diseñar e implementar la estrategia de internacionalización a través de certificaciones y programas especializados para los empresarios de la cadena de valor TEN+Ocio de manera que puedan acceder a mercados internacionales.</t>
  </si>
  <si>
    <t>Desarrollo y acceso de contenidos de turismo especializados para ingresar y sostenerse en los mercados internacionales.</t>
  </si>
  <si>
    <t>Realizar programa de desarrollo de talentos</t>
  </si>
  <si>
    <t>Apoyar el talento local, a través del desarrollo de capital humano en concordancia con las demandas de las apuestas economicas priorizadas por el territorio, el proyecto tiene un alcance que cubre las vigencias 2021 al 2026.</t>
  </si>
  <si>
    <t>Relacionamiento Institucional</t>
  </si>
  <si>
    <t xml:space="preserve">Empresas participantes de iniciativas de relacionamiento institucional y activación territorial </t>
  </si>
  <si>
    <t xml:space="preserve">Construcción de contenido y  mapas de relacionamiento y la agenda de articulación </t>
  </si>
  <si>
    <t>Actividades para impulsar la sostenibilidad en las empresas</t>
  </si>
  <si>
    <t>Articular entidades públicas y privadas a través de CRC</t>
  </si>
  <si>
    <t>Direccionar la articulación de entidades públicas y privadas, en busca de generar acciones e iniciativas en pro de la competitividad del departamento. Se realizarán mesas de trabajo interinstitucionales.</t>
  </si>
  <si>
    <t>Implementar un plan de plan de trabajo anual de la CRCI orientado al desarrollo de programas, proyectos e iniciativas de la Agenda Departamental de Competitividad e Innovación, el fortalecimiento técnico de la CRCI y de su modelo de gobernanza.</t>
  </si>
  <si>
    <t>Brindar servicios de formación y consultoría para empresas</t>
  </si>
  <si>
    <t>Apoyo a la educación y la cultura a través de la Biblioteca Piloto del Caribe - CLENA</t>
  </si>
  <si>
    <t>Liderar la gestión con entidades aliadas para cumplir los objetivos misionales de la CCB en cuanto a la Educación y la Cultura. Biblioteca Piloto del Caribe - CLENA</t>
  </si>
  <si>
    <t>Presidencia</t>
  </si>
  <si>
    <t>Realizar actividades con las mujeres cabezas de hogar.</t>
  </si>
  <si>
    <t>Realizar actividades de certificación de Liderazgo Femenino. Esta formación buscará replicar en sus empresas las competencias de liderazgo femenino, en contexto impactarán con su liderazgo.</t>
  </si>
  <si>
    <t>Liderar alianzas con Entidades para fortalecer la economía regional.</t>
  </si>
  <si>
    <t>Liderar la gestión con entidades aliadas para cubrir diferentes objetivos culturales y de región. Fundesarrollo, Protransparencia, Bquilla Como vamos, Probarranquilla y Otros.</t>
  </si>
  <si>
    <t>META EMPRESARIOS</t>
  </si>
  <si>
    <t>Pilares Sectoriales</t>
  </si>
  <si>
    <t>NUMERO ACTIVIDADES</t>
  </si>
  <si>
    <t>Implementar la puesta en marcha de nuestro evento Caribe BIZ Forum</t>
  </si>
  <si>
    <t>Gestionar la logística y apoyo para eventos internos y externos</t>
  </si>
  <si>
    <t>Promover los Centros de Reindustrialización - Zascas</t>
  </si>
  <si>
    <t>Realizar programa de economía circular</t>
  </si>
  <si>
    <t>Coadyuvar al acceso de contenidos especializados punta de lanza necesarios para ingresar y sostenerse en los mercados internacionales.</t>
  </si>
  <si>
    <t>Coadyuvar en el proceso de internacionalización de las empresas pertenecientes al segmento de negocios Turismo de Eventos y Negocios +Ocio de acuerdo con la vocación del Territorio</t>
  </si>
  <si>
    <t>AÑO 2023</t>
  </si>
  <si>
    <t>AÑO 2022</t>
  </si>
  <si>
    <t>AÑO 2021</t>
  </si>
  <si>
    <t>NÚMERO DE ACTIVIDADES</t>
  </si>
  <si>
    <t>PRESUPUESTO PUBLICO</t>
  </si>
  <si>
    <t>PRESUPUESTO PRIVADO</t>
  </si>
  <si>
    <t xml:space="preserve">                             - </t>
  </si>
  <si>
    <t>CLUSTER</t>
  </si>
  <si>
    <t>BIO SEGURIDAD</t>
  </si>
  <si>
    <t>TOTAL PRESUPUESTO PÚBLICO Y PRIVADO</t>
  </si>
  <si>
    <t>PROGRAMAS ESTRATEGICOS</t>
  </si>
  <si>
    <t>Realizar Programa más Formal 2023 (Ruta de apoyo al desarrollo de la microempresa)</t>
  </si>
  <si>
    <t>Programa de Fortalecimiento empresarial dirigido a empresas micro (Audiencia Consolidación de la Economía Formal). El objetivo es acompañar (1.200) empresas.</t>
  </si>
  <si>
    <t>Realizar Programa Fabricas de Productivdad</t>
  </si>
  <si>
    <t>Aumentar la productividad de (100) empresas del Departamento del Atlántico a través del acompañamiento y asistencia técnica en una de ocho (8) posibles líneas de intervención del programa: Gestión de calidad, Transformación digital, Gestión comercial, Logística, Productividad Laboral, Desarrollo de Productos, Productividad Operacional, Sostenibilidad Ambiental y Eficiencia Energética.</t>
  </si>
  <si>
    <t>Incentivar un modelo e producción, optimizando el flujo de stocks y materiales a través de reutilización de residuos, el uso de energía no convencionales y la busqueda de nuevas formas asociatividad.</t>
  </si>
  <si>
    <t>Promover los Centros de Reindustrialización.</t>
  </si>
  <si>
    <t>Apoyar la transición energética y la adopción de prácticas sostenibles por parte del tejido productivo (mipymes/pymes) de la región del Caribe colombiano. El objetivo es acompañar (300) empresas.</t>
  </si>
  <si>
    <t>Diseñar la estrategia para la puesta en marcha de un plan de acción que permita la internacionalización de las empresas del Cluster Salud. El objetivo es acompañar (12) empresas.</t>
  </si>
  <si>
    <t>Diseñar la estrategia para la puesta en marcha de un plan de acción que permita la internacionalización de las empresas del Cluster Espacios Habitables. El objetivo es acompañar (11) empresas.</t>
  </si>
  <si>
    <t>Fortalecer el Clúster  Salud en el Atlántico, mediante la implementación de procesos de gestión de la calidad, que contribuyan al cierre de brechas de productividad y a promover la generación de empleos especializados necesarios para el acceso a investigaciones clínicas con miras a la generación de nuevos negocios. El objetivo es acompañar (15) empresas.</t>
  </si>
  <si>
    <t>Lograr gestionar y coordinar encuentros empresariales y espacios de formación  incluyendo la planeación, logística y diseño de experiencias enriquecedoras para el empresario local, nacional e internacional.</t>
  </si>
  <si>
    <t xml:space="preserve">Desarollar proyectos con actividades de formación, asesoría y consultoría a unidades productivas del sector agro, en alianza con otras Entidades como SENA, Panaca, Fundación Santodomingo, entre otros, con actividades como el Programa de desarrollo de agronegocios, diplomado en asociatividad y credifomento. El objetivo es beneficiar (700) Unidades Productivas. </t>
  </si>
  <si>
    <t>Diseñar oferta de formación y consultoría para lograr el desarrollo de competencias y habilidades en las empresas. El objetivo es ofrecer 15.800 servicios empresariales.</t>
  </si>
  <si>
    <t>Capacitar a (500) unidades productivas para que mejoren su competitividad y sean mas sostenibles.</t>
  </si>
  <si>
    <t>Vincular a (350) unidades productivas en ferias comerciales o en el encuentro regional para que expongan sus productos y/o servicios, aumentando su visibilidad  ante los compradores potenciales</t>
  </si>
  <si>
    <t>Asesorar, Capacitar o Vincular a espacios de relacionamiento financiero o comercial a por lo menos (50) unidades productivas, fomentando el fortalecimiento de la economía social solidaria.</t>
  </si>
  <si>
    <t xml:space="preserve">Realizar relacionamiento institucional </t>
  </si>
  <si>
    <t xml:space="preserve">Acompañar la creación de iniciativas claves para el desarrollo del Departamento del Atlántico y la Región Caribe, gracias al relacionamiento y creación de alianzas e iniciativas con los distintos agentes del territorio. </t>
  </si>
  <si>
    <t>Vincular a las diferentes instituciones en iniciativas y proyectos claves para el desarrollo de la región  y desarrollar espacios de interacción con parlamentarios, ministerios, entidades multilaterales y embajadas.</t>
  </si>
  <si>
    <t>Diseñar mecanismos de participación empresarial para incidir en política pública de la región y generar contenido y definir un esquema de entrega de contenido de vanguardia para los actores clave de identidad y desarrollo local</t>
  </si>
  <si>
    <t>Empresas beneficiadas de programa para la reducción del delito de extorsión</t>
  </si>
  <si>
    <t>Implementar un programa de seguridad empresarial que permita la promoción de la seguridad en las actividades del tejido empresarial.</t>
  </si>
  <si>
    <t>Realizar articulación de entidades públicas y privadas a través de la Comisión Regional de Compatividad, la cual busca generar acción e iniciativas en desarrollo a la competitividad del departamento. El objetivo es realizar mesas de trabajo interinstitucionales en relación a la INTERNACIONALIZACIÓN.</t>
  </si>
  <si>
    <t>Realizar articulación de entidades públicas y privadas a través de la Comisión Regional de Compatividad, la cual busca generar acción e iniciativas en desarrollo a la competitividad del departamento. El objetivo es realizar mesas de trabajo interinstitucionales. Acompañamiento de la hoja de ruta en internacionalización.</t>
  </si>
  <si>
    <t>Plataforma Digital que permite a los empresarios, identificar los productos del ecosistema financiero con relación a sus necesidades de financiación, mediante un diagnostico de registros. El objetivo es atender (500) empresas.</t>
  </si>
  <si>
    <t>Realizar el evento (1) Caribe BIZ Forum, un espacio donde reuniremos +1.000 empresarios de todos los niveles en busca de conocimiento aplicado de las tendencias mundiales, en el marco de una economía emergente que ofrece muchas oportunidades, en 2023 nos enfocaremos en Reactivación Empresarial, los aspectos fundamentales que nos conectan con la fuente de inspiración de nuestros negocios; fortaleceremos las estrategias de comercialización del foro con miras a incrementar su participación a nivel local, nacional e internacional, a través del diseño de experiencias memorables como factor diferencial.</t>
  </si>
  <si>
    <t>12. Digitalización</t>
  </si>
  <si>
    <t>Realizar actividades de Alfabetización Digital</t>
  </si>
  <si>
    <t xml:space="preserve">Realizar asesorías y/o capacitaciones individuales o grupales a (100) unidades productivas en temas relacionados con alfabetización digital, familiarizandolos con herramientas y/o aplicaciones tecnológicas. </t>
  </si>
  <si>
    <t>Realizar Programa de Negocios más Internacionales Manufactura</t>
  </si>
  <si>
    <t>Programa de Internacionalización de Manufacturas: Acompañamiento a (40) empresas de todos los segmentos  para acelerar los procesos que les permitan acceder a mercados internacionales en el corto y mediano plazo. Brindar asesoria grupal o individual a los empresarios para la obtención de certificaciones requeridas para la exportación de sus productos o servicios de acuerdo con el sector al que pertenecen y el mercado de destino.</t>
  </si>
  <si>
    <t>Realiza Programa Caribe Exponencial</t>
  </si>
  <si>
    <t xml:space="preserve">Programa de aceleración para impulsar el tejido empresarial y crear una dinámica de crecimiento y desarrollo económico en la región Caribe, que se desarrolla en alianza con Uninorte, Fun Promigas, FSD, Fundesarrollo, ProBquilla y Andi Seccional Atco y Magdalena, con el fin de impactar (10) empresas, dando continuidad al mismo y el objetivo común de construcción de comunidad empresarial y de posicionamiento de Barranquilla como centro de emprendimiento de alto impacto local, regional y nacional. </t>
  </si>
  <si>
    <t>Aunar esfuerzos entre ENDEAVOR y LA CÁMARA para llevar a cabo acciones para fortalecer y transformar (15) emprendimientos de alto potencial en empresas que escalen y se conviertan en jugadores nacionales, regionales y globales, para que contribuyan al desarrollo económico de la región y generen impacto.</t>
  </si>
  <si>
    <t>Realizar Programa Endeavor Scale Up</t>
  </si>
  <si>
    <t>Aunar esfuerzos entre ENDEAVOR y LA CÁMARA para llevar a cabo acciones para fortalecer y transformar (10) emprendimientos de alto potencial en empresas que escalen y se conviertan en jugadores nacionales, regionales y globales, para que contribuyan al desarrollo económico de la región y generen impacto.</t>
  </si>
  <si>
    <t>Apoyar a setenta (70) empresas en Barranquilla y el Atlántico a mejorar sus resultados económicos a través de un proceso de aceleración empresarial que se desarrollará en el marco de la participación en el programa IMPULSA TU EMPRESA 3.0, programa de aceleración empresarial que busca apoyar a las empresas para que sean más competitivas, rentables y mejoren en indicadores del programa (incremento en ventas, empleos generados, acceso a financiamiento, enlaces comerciales).</t>
  </si>
  <si>
    <t>El proyecto propuesto tiene como propósito resolver fallas de mercado relacionadas con el vacío de capital para el financiamiento en las etapas tempranas del proceso empresarial que afecta el nivel de desarrollo tecnológico que es incorporado por las Empresas de Alto Potencial Innovador (EAPI) en sus iniciativas. Acompañar las (20) empresas seleccionadas en el año 2022.</t>
  </si>
  <si>
    <t>Acompañamiento a entidades que hacen parte del Ecosistema, participación en charlas, espacios de socialización, charlas inspiracionales. Semana Global de Emprendimiento. El objetivo es atender (550) empresas.</t>
  </si>
  <si>
    <t>Realizar activación de empresas del Atlantico en la red Hagamos Negocios</t>
  </si>
  <si>
    <t>El objetivo de esta actividad es vincular empresas a la red Hagamos Negocios, activándose en la plataforma dispuesta para esto. Las empresas podrán impulsar su relacionamiento comercial  a nivel local, nacional o internacional, que los lleven a celebrar nuevos negocios, directamente o con el apoyo de la Cámara de Comercio.</t>
  </si>
  <si>
    <t>Realizar fortalecimiento empresarial consolidando la dinámica económica regional, a través de programas integrales que propendan por un tejido empresarial más amplio y robustecido en pro del emprendimiento y la movilidad empresarial. Protransparencia, Barranquilla como vamos, Probarranquilla, Fundesarrollo y otros.</t>
  </si>
  <si>
    <t>Analizar, diseñar e implementar estrategica de contenidos especializados de manera que los empresarios del segmento de negocio TEN+Ocio puedan acceder y les facilite su acceso a los mercados internacionales.</t>
  </si>
  <si>
    <t>Brindar servicios de formación para empresas de Turismo</t>
  </si>
  <si>
    <t>Diseñar oferta de formación y consultoría para lograr el desarrollo de competencias y habilidades en las empresas. El objetivo es ofrecer 1.200 servicios empresariales.</t>
  </si>
  <si>
    <t>Realizar fortalecimiento empresarial consolidando la dinámica económica regional, a través de programas integrales que propendan por un tejido empresarial más amplio y robustecido en pro del emprendimiento y la movilidad empresarial. Alianza con Clena.</t>
  </si>
  <si>
    <t>Actividades de dinamización del clúster y Hoja de Ruta de internacionalización para Cluster Salud y Farma.</t>
  </si>
  <si>
    <t>Diseñar la estrategia para la puesta en marcha de un plan de acción que permita la internacionalización de las empresas del Cluster Salud. 
Actividades de networking y promoción del clúster de salud.</t>
  </si>
  <si>
    <t>Actividades de dinamización del clúster y Hoja de Ruta de internacionalización para Cluster Espacios Habitables.</t>
  </si>
  <si>
    <t>Diseñar la estrategia para la puesta en marcha de un plan de acción que permita la internacionalización de las empresas del Cluster Espacios Habitables.
Actividades de networking y promoción del clúster de espacios habitables.</t>
  </si>
  <si>
    <t>Fortalecer el Clúster  Salud en el Atlántico, mediante la implementación de procesos de gestión de la calidad, que contribuyan al cierre de brechas de productividad y a promover la generación de empleos especializados necesarios para el acceso a investigaciones clínicas con miras a la generación de nuevos negocios.
Actividades de networking y promoción del proyecto.</t>
  </si>
  <si>
    <t>Incrementar la visibilidad de programas, proyectos y servicios de la CCBaq  en los emprendedores y empresarios, mediante los diferentes canales y a partir de las palancas estratégicas segmentadas por tipo de audiencias: Clústers​, Empresarios​. Economía Social y Solidaria​ y Servicios Registrales. Llegar a 200.000 empresarios  a través de los distintos canales.
Desarrollo de contenido y promoción de los proyectos, productos y servicios para los clúster y para Caribe Biz.</t>
  </si>
  <si>
    <t>Incentivar modelos de producción, optimizando el flujo de stocks y materiales a través de la reutilización de residuos, el uso de energía no convencionales y la búsqueda de nuevas formas asociatividad.</t>
  </si>
  <si>
    <t>Desarollar proyectos con actividades de formación, asesoría y consultoría a unidades productivas del sector agro, en alianza con otras Entidades como SENA, Panaca, Fundación Santodomingo, entre otros.
Implementar el Programa de desarrollo de agronegocios, diplomado en asociatividad y credifomento.</t>
  </si>
  <si>
    <t>Internacionacionalización de las empresas del segmento de Turismo de Eventos y Negocios+Ocio</t>
  </si>
  <si>
    <t>Analizar, diseñar e implementar estrategias de contenidos especializados de manera que los empresarios del segmento de negocio TEN+Ocio puedan acceder y se les facilite su acceso a los mercados internacionales. (100 Empresas)
Formación para la cadena de valor en contenidos especializados. (1.200 Empresas)</t>
  </si>
  <si>
    <t>Acompañamiento a entidades que hacen parte del Ecosistema, participación en talleres, espacios de socialización, charlas inspiracionales. Semana Global de Emprendimiento y Otros Eventos de Emprendimiento.</t>
  </si>
  <si>
    <t>Programa de Inclusión de Unidades Productivas de  Economía Solidaria</t>
  </si>
  <si>
    <t>Realizar un diagnostico, formación, plan de acción y actividades de relacionamiento a (500) unidades productivas para que mejoren su competitividad y sostenibilidad.</t>
  </si>
  <si>
    <t>Diseñar mecanismos de participación empresarial a partir de la generación de contenido de interes para el tejido empresarial.
Gestionar e incidir en política pública para mejoramiento del entorno empresarial. Reformas de Ley y normativas nacionales y locales.
Desarrollo de espacios de interacción parlamentarios, ministerios y actores clave de la unidad de relacionamiento institucional.</t>
  </si>
  <si>
    <t>Vincular a las diferentes instituciones en iniciativas y proyectos claves para el desarrollo de la región.
Gestionar proyectos y factores claves de región: Puerto, vías, seguridad, talento humano. Llegar a 1.000 empresarios del Departamento del Atlantico a través de actividades con entidades gubernamntales para reducir el delito de la extorción que afecta la actividad empresarial.
Impactar 500 empresarios con contenidos e información de proyectos de infraestructura.</t>
  </si>
  <si>
    <t>NÚMERO TOTAL DE HORAS PROGRAMAS</t>
  </si>
  <si>
    <t>HORAS DE ACOMPAÑAMIENTO POR EMPRESA</t>
  </si>
  <si>
    <t>Atender servicios de información, formación y consultoría para empresarios</t>
  </si>
  <si>
    <t>Atender una oferta de información, formación y consultoría para desarrollar competencias y habilidades en los empresarios.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</si>
</sst>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
    <numFmt numFmtId="165" formatCode="_-* #,##0_-;\-* #,##0_-;_-* &quot;-&quot;??_-;_-@_-"/>
    <numFmt numFmtId="166" formatCode="_-&quot;$&quot;\ * #,##0_-;\-&quot;$&quot;\ * #,##0_-;_-&quot;$&quot;\ * &quot;-&quot;??_-;_-@_-"/>
  </numFmts>
  <fonts count="15" x14ac:knownFonts="1">
    <font>
      <sz val="11"/>
      <color theme="1"/>
      <name val="Calibri"/>
      <family val="2"/>
      <scheme val="minor"/>
    </font>
    <font>
      <sz val="11"/>
      <color theme="1"/>
      <name val="Calibri"/>
      <family val="2"/>
      <scheme val="minor"/>
    </font>
    <font>
      <sz val="9"/>
      <color theme="1"/>
      <name val="Calibri"/>
      <family val="2"/>
      <scheme val="minor"/>
    </font>
    <font>
      <sz val="8"/>
      <name val="Calibri"/>
      <family val="2"/>
      <scheme val="minor"/>
    </font>
    <font>
      <sz val="9"/>
      <name val="Calibri"/>
      <family val="2"/>
      <scheme val="minor"/>
    </font>
    <font>
      <sz val="14"/>
      <color theme="1"/>
      <name val="ITCKabel LT Book"/>
    </font>
    <font>
      <b/>
      <sz val="14"/>
      <color rgb="FFFFFFFF"/>
      <name val="ITCKabel LT Book"/>
    </font>
    <font>
      <sz val="14"/>
      <color rgb="FF000000"/>
      <name val="ITCKabel LT Book"/>
    </font>
    <font>
      <b/>
      <sz val="9"/>
      <color theme="0"/>
      <name val="Calibri"/>
      <family val="2"/>
      <scheme val="minor"/>
    </font>
    <font>
      <b/>
      <sz val="14"/>
      <color theme="1"/>
      <name val="ITCKabel LT Book"/>
    </font>
    <font>
      <sz val="9"/>
      <color indexed="81"/>
      <name val="Tahoma"/>
      <family val="2"/>
    </font>
    <font>
      <b/>
      <sz val="9"/>
      <color indexed="81"/>
      <name val="Tahoma"/>
      <family val="2"/>
    </font>
    <font>
      <b/>
      <sz val="11"/>
      <color theme="0"/>
      <name val="Calibri"/>
      <family val="2"/>
      <scheme val="minor"/>
    </font>
    <font>
      <sz val="11"/>
      <name val="Calibri"/>
      <family val="2"/>
      <scheme val="minor"/>
    </font>
    <font>
      <sz val="9"/>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rgb="FF4472C4"/>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8"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0" borderId="0" xfId="0" applyFont="1" applyAlignment="1">
      <alignment wrapText="1"/>
    </xf>
    <xf numFmtId="0" fontId="2" fillId="0" borderId="1" xfId="0" applyFont="1" applyBorder="1" applyAlignment="1">
      <alignment vertical="center" wrapText="1"/>
    </xf>
    <xf numFmtId="0" fontId="5" fillId="0" borderId="0" xfId="0" applyFont="1"/>
    <xf numFmtId="0" fontId="6" fillId="4" borderId="16" xfId="0" applyFont="1" applyFill="1" applyBorder="1" applyAlignment="1">
      <alignment horizontal="center" vertical="center" wrapText="1" readingOrder="1"/>
    </xf>
    <xf numFmtId="0" fontId="6" fillId="4" borderId="17" xfId="0" applyFont="1" applyFill="1" applyBorder="1" applyAlignment="1">
      <alignment horizontal="center" vertical="center" wrapText="1" readingOrder="1"/>
    </xf>
    <xf numFmtId="0" fontId="6" fillId="4" borderId="18" xfId="0" applyFont="1" applyFill="1" applyBorder="1" applyAlignment="1">
      <alignment horizontal="center" vertical="center" wrapText="1" readingOrder="1"/>
    </xf>
    <xf numFmtId="0" fontId="6" fillId="5" borderId="17" xfId="0" applyFont="1" applyFill="1" applyBorder="1" applyAlignment="1">
      <alignment horizontal="center" vertical="center" wrapText="1" readingOrder="1"/>
    </xf>
    <xf numFmtId="0" fontId="6" fillId="5" borderId="18" xfId="0" applyFont="1" applyFill="1" applyBorder="1" applyAlignment="1">
      <alignment horizontal="center" vertical="center" wrapText="1" readingOrder="1"/>
    </xf>
    <xf numFmtId="0" fontId="6" fillId="6" borderId="17" xfId="0" applyFont="1" applyFill="1" applyBorder="1" applyAlignment="1">
      <alignment horizontal="center" vertical="center" wrapText="1" readingOrder="1"/>
    </xf>
    <xf numFmtId="0" fontId="6" fillId="6" borderId="18" xfId="0" applyFont="1" applyFill="1" applyBorder="1" applyAlignment="1">
      <alignment horizontal="center" vertical="center" wrapText="1" readingOrder="1"/>
    </xf>
    <xf numFmtId="0" fontId="7" fillId="0" borderId="14" xfId="0" applyFont="1" applyBorder="1" applyAlignment="1">
      <alignment horizontal="left" vertical="center" wrapText="1" readingOrder="1"/>
    </xf>
    <xf numFmtId="0" fontId="7" fillId="0" borderId="13" xfId="0" applyFont="1" applyBorder="1" applyAlignment="1">
      <alignment horizontal="center" vertical="center" wrapText="1" readingOrder="1"/>
    </xf>
    <xf numFmtId="164" fontId="7" fillId="0" borderId="15" xfId="2" applyNumberFormat="1" applyFont="1" applyFill="1" applyBorder="1" applyAlignment="1">
      <alignment horizontal="right" vertical="center" wrapText="1" readingOrder="1"/>
    </xf>
    <xf numFmtId="0" fontId="7" fillId="0" borderId="22" xfId="0" applyFont="1" applyBorder="1" applyAlignment="1">
      <alignment horizontal="center" vertical="center" wrapText="1" readingOrder="1"/>
    </xf>
    <xf numFmtId="164" fontId="7" fillId="0" borderId="13" xfId="2" applyNumberFormat="1" applyFont="1" applyFill="1" applyBorder="1" applyAlignment="1">
      <alignment horizontal="right" vertical="center" wrapText="1" readingOrder="1"/>
    </xf>
    <xf numFmtId="164" fontId="7" fillId="0" borderId="13" xfId="2" applyNumberFormat="1" applyFont="1" applyBorder="1" applyAlignment="1">
      <alignment horizontal="right" vertical="center" wrapText="1" readingOrder="1"/>
    </xf>
    <xf numFmtId="164" fontId="7" fillId="0" borderId="15" xfId="2" applyNumberFormat="1" applyFont="1" applyBorder="1" applyAlignment="1">
      <alignment horizontal="right" vertical="center" wrapText="1" readingOrder="1"/>
    </xf>
    <xf numFmtId="0" fontId="7" fillId="0" borderId="2" xfId="0" applyFont="1" applyBorder="1" applyAlignment="1">
      <alignment horizontal="left" vertical="center" wrapText="1" readingOrder="1"/>
    </xf>
    <xf numFmtId="0" fontId="7" fillId="0" borderId="1" xfId="0" applyFont="1" applyBorder="1" applyAlignment="1">
      <alignment horizontal="center" vertical="center" wrapText="1" readingOrder="1"/>
    </xf>
    <xf numFmtId="164" fontId="7" fillId="0" borderId="3" xfId="2" applyNumberFormat="1" applyFont="1" applyFill="1" applyBorder="1" applyAlignment="1">
      <alignment horizontal="right" vertical="center" wrapText="1" readingOrder="1"/>
    </xf>
    <xf numFmtId="0" fontId="7" fillId="0" borderId="23" xfId="0" applyFont="1" applyBorder="1" applyAlignment="1">
      <alignment horizontal="center" vertical="center" wrapText="1" readingOrder="1"/>
    </xf>
    <xf numFmtId="164" fontId="7" fillId="0" borderId="1" xfId="2" applyNumberFormat="1" applyFont="1" applyFill="1" applyBorder="1" applyAlignment="1">
      <alignment horizontal="right" vertical="center" wrapText="1" readingOrder="1"/>
    </xf>
    <xf numFmtId="164" fontId="7" fillId="0" borderId="1" xfId="2" applyNumberFormat="1" applyFont="1" applyBorder="1" applyAlignment="1">
      <alignment horizontal="right" vertical="center" wrapText="1" readingOrder="1"/>
    </xf>
    <xf numFmtId="164" fontId="7" fillId="0" borderId="3" xfId="2" applyNumberFormat="1" applyFont="1" applyBorder="1" applyAlignment="1">
      <alignment horizontal="right" vertical="center" wrapText="1" readingOrder="1"/>
    </xf>
    <xf numFmtId="0" fontId="7" fillId="0" borderId="4" xfId="0" applyFont="1" applyBorder="1" applyAlignment="1">
      <alignment horizontal="left" vertical="center" wrapText="1" readingOrder="1"/>
    </xf>
    <xf numFmtId="164" fontId="7" fillId="0" borderId="5" xfId="2" applyNumberFormat="1" applyFont="1" applyFill="1" applyBorder="1" applyAlignment="1">
      <alignment horizontal="center" vertical="center" wrapText="1" readingOrder="1"/>
    </xf>
    <xf numFmtId="164" fontId="7" fillId="0" borderId="5" xfId="2" applyNumberFormat="1" applyFont="1" applyFill="1" applyBorder="1" applyAlignment="1">
      <alignment horizontal="right" vertical="center" wrapText="1" readingOrder="1"/>
    </xf>
    <xf numFmtId="164" fontId="7" fillId="0" borderId="6" xfId="2" applyNumberFormat="1" applyFont="1" applyFill="1" applyBorder="1" applyAlignment="1">
      <alignment horizontal="right" vertical="center" wrapText="1" readingOrder="1"/>
    </xf>
    <xf numFmtId="0" fontId="7" fillId="0" borderId="24" xfId="0" applyFont="1" applyBorder="1" applyAlignment="1">
      <alignment horizontal="center" vertical="center" wrapText="1" readingOrder="1"/>
    </xf>
    <xf numFmtId="164" fontId="7" fillId="0" borderId="5" xfId="2" applyNumberFormat="1" applyFont="1" applyBorder="1" applyAlignment="1">
      <alignment horizontal="right" vertical="center" wrapText="1" readingOrder="1"/>
    </xf>
    <xf numFmtId="164" fontId="7" fillId="0" borderId="6" xfId="2" applyNumberFormat="1" applyFont="1" applyBorder="1" applyAlignment="1">
      <alignment horizontal="right" vertical="center" wrapText="1" readingOrder="1"/>
    </xf>
    <xf numFmtId="0" fontId="6" fillId="4" borderId="9" xfId="0" applyFont="1" applyFill="1" applyBorder="1" applyAlignment="1">
      <alignment horizontal="center" vertical="center" wrapText="1" readingOrder="1"/>
    </xf>
    <xf numFmtId="164" fontId="6" fillId="4" borderId="9" xfId="2" applyNumberFormat="1" applyFont="1" applyFill="1" applyBorder="1" applyAlignment="1">
      <alignment horizontal="right" vertical="center" wrapText="1" readingOrder="1"/>
    </xf>
    <xf numFmtId="0" fontId="6" fillId="5" borderId="9" xfId="0" applyFont="1" applyFill="1" applyBorder="1" applyAlignment="1">
      <alignment horizontal="center" vertical="center" wrapText="1" readingOrder="1"/>
    </xf>
    <xf numFmtId="164" fontId="6" fillId="5" borderId="9" xfId="2" applyNumberFormat="1" applyFont="1" applyFill="1" applyBorder="1" applyAlignment="1">
      <alignment horizontal="right" vertical="center" wrapText="1" readingOrder="1"/>
    </xf>
    <xf numFmtId="0" fontId="6" fillId="6" borderId="9" xfId="0" applyFont="1" applyFill="1" applyBorder="1" applyAlignment="1">
      <alignment horizontal="center" vertical="center" wrapText="1" readingOrder="1"/>
    </xf>
    <xf numFmtId="164" fontId="6" fillId="6" borderId="9" xfId="2" applyNumberFormat="1" applyFont="1" applyFill="1" applyBorder="1" applyAlignment="1">
      <alignment horizontal="right" vertical="center" wrapText="1" readingOrder="1"/>
    </xf>
    <xf numFmtId="0" fontId="6" fillId="4" borderId="19" xfId="0" applyFont="1" applyFill="1" applyBorder="1" applyAlignment="1">
      <alignment horizontal="center" vertical="center" wrapText="1" readingOrder="1"/>
    </xf>
    <xf numFmtId="0" fontId="6" fillId="4" borderId="20" xfId="0" applyFont="1" applyFill="1" applyBorder="1" applyAlignment="1">
      <alignment horizontal="center" vertical="center" wrapText="1" readingOrder="1"/>
    </xf>
    <xf numFmtId="164" fontId="6" fillId="4" borderId="20" xfId="2" applyNumberFormat="1" applyFont="1" applyFill="1" applyBorder="1" applyAlignment="1">
      <alignment horizontal="right" vertical="center" wrapText="1" readingOrder="1"/>
    </xf>
    <xf numFmtId="164" fontId="6" fillId="4" borderId="21" xfId="2" applyNumberFormat="1" applyFont="1" applyFill="1" applyBorder="1" applyAlignment="1">
      <alignment horizontal="right" vertical="center" wrapText="1" readingOrder="1"/>
    </xf>
    <xf numFmtId="0" fontId="6" fillId="5" borderId="20" xfId="0" applyFont="1" applyFill="1" applyBorder="1" applyAlignment="1">
      <alignment horizontal="center" vertical="center" wrapText="1" readingOrder="1"/>
    </xf>
    <xf numFmtId="164" fontId="6" fillId="5" borderId="20" xfId="2" applyNumberFormat="1" applyFont="1" applyFill="1" applyBorder="1" applyAlignment="1">
      <alignment horizontal="right" vertical="center" wrapText="1" readingOrder="1"/>
    </xf>
    <xf numFmtId="164" fontId="6" fillId="5" borderId="21" xfId="2" applyNumberFormat="1" applyFont="1" applyFill="1" applyBorder="1" applyAlignment="1">
      <alignment horizontal="right" vertical="center" wrapText="1" readingOrder="1"/>
    </xf>
    <xf numFmtId="0" fontId="6" fillId="6" borderId="20" xfId="0" applyFont="1" applyFill="1" applyBorder="1" applyAlignment="1">
      <alignment horizontal="center" vertical="center" wrapText="1" readingOrder="1"/>
    </xf>
    <xf numFmtId="164" fontId="6" fillId="6" borderId="20" xfId="2" applyNumberFormat="1" applyFont="1" applyFill="1" applyBorder="1" applyAlignment="1">
      <alignment horizontal="right" vertical="center" wrapText="1" readingOrder="1"/>
    </xf>
    <xf numFmtId="164" fontId="6" fillId="6" borderId="21" xfId="2" applyNumberFormat="1" applyFont="1" applyFill="1" applyBorder="1" applyAlignment="1">
      <alignment horizontal="right" vertical="center" wrapText="1" readingOrder="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2" fillId="0" borderId="0" xfId="0" applyFont="1"/>
    <xf numFmtId="0" fontId="2" fillId="3" borderId="7" xfId="0" applyFont="1" applyFill="1" applyBorder="1" applyAlignment="1">
      <alignment horizontal="center" vertical="center" wrapText="1"/>
    </xf>
    <xf numFmtId="0" fontId="2" fillId="3" borderId="1" xfId="0" applyFont="1" applyFill="1" applyBorder="1" applyAlignment="1">
      <alignment vertical="center" wrapText="1"/>
    </xf>
    <xf numFmtId="165" fontId="2" fillId="3" borderId="1" xfId="1" applyNumberFormat="1" applyFont="1" applyFill="1" applyBorder="1" applyAlignment="1">
      <alignment vertical="center" wrapText="1"/>
    </xf>
    <xf numFmtId="9" fontId="2" fillId="3" borderId="1" xfId="3" applyFont="1" applyFill="1" applyBorder="1" applyAlignment="1">
      <alignment horizontal="right" vertical="center" wrapText="1"/>
    </xf>
    <xf numFmtId="9" fontId="2" fillId="0" borderId="1" xfId="3" applyFont="1" applyBorder="1" applyAlignment="1">
      <alignment vertical="center" wrapText="1"/>
    </xf>
    <xf numFmtId="165" fontId="2" fillId="0" borderId="1" xfId="1" applyNumberFormat="1" applyFont="1" applyBorder="1" applyAlignment="1">
      <alignment vertical="center" wrapText="1"/>
    </xf>
    <xf numFmtId="9" fontId="2" fillId="3" borderId="1" xfId="3" applyFont="1" applyFill="1" applyBorder="1" applyAlignment="1">
      <alignment vertical="center" wrapText="1"/>
    </xf>
    <xf numFmtId="165" fontId="4" fillId="0" borderId="1" xfId="1" applyNumberFormat="1" applyFont="1" applyFill="1" applyBorder="1" applyAlignment="1">
      <alignment horizontal="right" vertical="center" wrapText="1"/>
    </xf>
    <xf numFmtId="165" fontId="2" fillId="0" borderId="0" xfId="1" applyNumberFormat="1" applyFont="1" applyAlignment="1">
      <alignment wrapText="1"/>
    </xf>
    <xf numFmtId="165" fontId="2" fillId="0" borderId="0" xfId="1" applyNumberFormat="1" applyFont="1"/>
    <xf numFmtId="165" fontId="2" fillId="0" borderId="0" xfId="0" applyNumberFormat="1" applyFont="1"/>
    <xf numFmtId="0" fontId="6" fillId="4" borderId="14" xfId="0" applyFont="1" applyFill="1" applyBorder="1" applyAlignment="1">
      <alignment horizontal="center" vertical="center" wrapText="1" readingOrder="1"/>
    </xf>
    <xf numFmtId="0" fontId="6" fillId="4" borderId="13" xfId="0" applyFont="1" applyFill="1" applyBorder="1" applyAlignment="1">
      <alignment horizontal="center" vertical="center" wrapText="1" readingOrder="1"/>
    </xf>
    <xf numFmtId="0" fontId="6" fillId="4" borderId="15" xfId="0" applyFont="1" applyFill="1" applyBorder="1" applyAlignment="1">
      <alignment horizontal="center" vertical="center" wrapText="1" readingOrder="1"/>
    </xf>
    <xf numFmtId="0" fontId="5" fillId="0" borderId="2" xfId="0" applyFont="1" applyBorder="1" applyAlignment="1">
      <alignment vertical="center"/>
    </xf>
    <xf numFmtId="3" fontId="5" fillId="0" borderId="1" xfId="0" applyNumberFormat="1" applyFont="1" applyBorder="1" applyAlignment="1">
      <alignment vertical="center"/>
    </xf>
    <xf numFmtId="3" fontId="5" fillId="0" borderId="3" xfId="0" applyNumberFormat="1" applyFont="1" applyBorder="1" applyAlignment="1">
      <alignment vertical="center"/>
    </xf>
    <xf numFmtId="3" fontId="9" fillId="0" borderId="5" xfId="0" applyNumberFormat="1" applyFont="1" applyBorder="1" applyAlignment="1">
      <alignment vertical="center"/>
    </xf>
    <xf numFmtId="3" fontId="9" fillId="0" borderId="6" xfId="0" applyNumberFormat="1" applyFont="1" applyBorder="1" applyAlignment="1">
      <alignment vertical="center"/>
    </xf>
    <xf numFmtId="0" fontId="8" fillId="7" borderId="1" xfId="0"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3" fontId="9" fillId="0" borderId="5" xfId="0" applyNumberFormat="1" applyFont="1" applyBorder="1" applyAlignment="1">
      <alignment horizontal="center" vertical="center"/>
    </xf>
    <xf numFmtId="0" fontId="9" fillId="0" borderId="4" xfId="0" applyFont="1" applyBorder="1" applyAlignment="1">
      <alignment horizontal="center" vertical="center"/>
    </xf>
    <xf numFmtId="3" fontId="5" fillId="0" borderId="0" xfId="0" applyNumberFormat="1" applyFont="1"/>
    <xf numFmtId="0" fontId="5" fillId="0" borderId="1" xfId="0" applyFont="1" applyBorder="1"/>
    <xf numFmtId="0" fontId="5" fillId="0" borderId="3" xfId="0" applyFont="1" applyBorder="1"/>
    <xf numFmtId="166" fontId="2" fillId="0" borderId="0" xfId="2" applyNumberFormat="1" applyFont="1" applyAlignment="1">
      <alignment wrapText="1"/>
    </xf>
    <xf numFmtId="164" fontId="4" fillId="0" borderId="1" xfId="2" applyNumberFormat="1" applyFont="1" applyFill="1" applyBorder="1" applyAlignment="1">
      <alignment horizontal="right" vertical="center" wrapText="1"/>
    </xf>
    <xf numFmtId="0" fontId="0" fillId="0" borderId="0" xfId="0" applyAlignment="1">
      <alignment vertical="center"/>
    </xf>
    <xf numFmtId="0" fontId="12" fillId="7" borderId="1" xfId="0" applyFont="1" applyFill="1" applyBorder="1" applyAlignment="1">
      <alignment horizontal="center" vertical="center" wrapText="1"/>
    </xf>
    <xf numFmtId="1" fontId="12" fillId="7"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164" fontId="13" fillId="0" borderId="1" xfId="2" applyNumberFormat="1" applyFont="1" applyFill="1" applyBorder="1" applyAlignment="1">
      <alignment horizontal="right" vertical="center" wrapText="1"/>
    </xf>
    <xf numFmtId="165" fontId="13" fillId="0" borderId="1" xfId="1" applyNumberFormat="1" applyFont="1" applyFill="1" applyBorder="1" applyAlignment="1">
      <alignment horizontal="center" vertical="center" wrapText="1"/>
    </xf>
    <xf numFmtId="0" fontId="0" fillId="0" borderId="0" xfId="0" applyAlignment="1">
      <alignment horizontal="center" vertical="center"/>
    </xf>
    <xf numFmtId="165" fontId="0" fillId="0" borderId="31" xfId="0" applyNumberFormat="1" applyBorder="1"/>
    <xf numFmtId="165" fontId="0" fillId="0" borderId="33" xfId="0" applyNumberFormat="1" applyBorder="1"/>
    <xf numFmtId="0" fontId="0" fillId="0" borderId="35" xfId="0" applyBorder="1"/>
    <xf numFmtId="0" fontId="0" fillId="0" borderId="36" xfId="0" applyBorder="1"/>
    <xf numFmtId="0" fontId="0" fillId="0" borderId="37" xfId="0"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5" fontId="0" fillId="0" borderId="0" xfId="0" applyNumberFormat="1"/>
    <xf numFmtId="0" fontId="0" fillId="0" borderId="26" xfId="0" applyBorder="1" applyAlignment="1">
      <alignment horizontal="left"/>
    </xf>
    <xf numFmtId="165" fontId="4" fillId="0" borderId="1" xfId="1" applyNumberFormat="1" applyFont="1" applyFill="1" applyBorder="1" applyAlignment="1">
      <alignment horizontal="center" vertical="center" wrapText="1"/>
    </xf>
    <xf numFmtId="0" fontId="0" fillId="0" borderId="27" xfId="0" pivotButton="1" applyBorder="1"/>
    <xf numFmtId="0" fontId="0" fillId="0" borderId="30" xfId="0" applyBorder="1" applyAlignment="1">
      <alignment horizontal="left"/>
    </xf>
    <xf numFmtId="165" fontId="0" fillId="0" borderId="34" xfId="0" applyNumberFormat="1" applyBorder="1"/>
    <xf numFmtId="165" fontId="0" fillId="0" borderId="28" xfId="0" applyNumberFormat="1" applyBorder="1"/>
    <xf numFmtId="165" fontId="0" fillId="0" borderId="29" xfId="0" applyNumberFormat="1" applyBorder="1"/>
    <xf numFmtId="165" fontId="8" fillId="7" borderId="1" xfId="1" applyNumberFormat="1" applyFont="1" applyFill="1" applyBorder="1" applyAlignment="1">
      <alignment horizontal="center" vertical="center" wrapText="1"/>
    </xf>
    <xf numFmtId="166" fontId="8" fillId="7" borderId="1" xfId="2" applyNumberFormat="1" applyFont="1" applyFill="1" applyBorder="1" applyAlignment="1">
      <alignment horizontal="center" vertical="center" wrapText="1"/>
    </xf>
    <xf numFmtId="166" fontId="4" fillId="0" borderId="1" xfId="2" applyNumberFormat="1" applyFont="1" applyFill="1" applyBorder="1" applyAlignment="1">
      <alignment horizontal="right" vertical="center" wrapText="1"/>
    </xf>
    <xf numFmtId="0" fontId="0" fillId="0" borderId="27" xfId="0" applyBorder="1"/>
    <xf numFmtId="0" fontId="0" fillId="0" borderId="30" xfId="0" applyBorder="1"/>
    <xf numFmtId="0" fontId="0" fillId="0" borderId="32" xfId="0" applyBorder="1"/>
    <xf numFmtId="0" fontId="4" fillId="0" borderId="1" xfId="0" applyFont="1" applyBorder="1" applyAlignment="1">
      <alignment horizontal="left" vertical="center" wrapText="1"/>
    </xf>
    <xf numFmtId="0" fontId="14" fillId="0" borderId="25" xfId="0" applyFont="1" applyBorder="1" applyAlignment="1">
      <alignment horizontal="left" vertical="center" wrapText="1" readingOrder="1"/>
    </xf>
    <xf numFmtId="164" fontId="2" fillId="0" borderId="1"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6" fillId="6" borderId="10" xfId="0" applyFont="1" applyFill="1" applyBorder="1" applyAlignment="1">
      <alignment horizontal="center" vertical="center" wrapText="1" readingOrder="1"/>
    </xf>
    <xf numFmtId="0" fontId="6" fillId="6" borderId="11" xfId="0" applyFont="1" applyFill="1" applyBorder="1" applyAlignment="1">
      <alignment horizontal="center" vertical="center" wrapText="1" readingOrder="1"/>
    </xf>
    <xf numFmtId="0" fontId="6" fillId="6" borderId="12" xfId="0" applyFont="1" applyFill="1" applyBorder="1" applyAlignment="1">
      <alignment horizontal="center" vertical="center" wrapText="1" readingOrder="1"/>
    </xf>
    <xf numFmtId="0" fontId="6" fillId="5" borderId="10" xfId="0" applyFont="1" applyFill="1" applyBorder="1" applyAlignment="1">
      <alignment horizontal="center" vertical="center" wrapText="1" readingOrder="1"/>
    </xf>
    <xf numFmtId="0" fontId="6" fillId="5" borderId="11" xfId="0" applyFont="1" applyFill="1" applyBorder="1" applyAlignment="1">
      <alignment horizontal="center" vertical="center" wrapText="1" readingOrder="1"/>
    </xf>
    <xf numFmtId="0" fontId="6" fillId="5" borderId="12" xfId="0" applyFont="1" applyFill="1" applyBorder="1" applyAlignment="1">
      <alignment horizontal="center" vertical="center" wrapText="1" readingOrder="1"/>
    </xf>
    <xf numFmtId="0" fontId="6" fillId="4" borderId="10" xfId="0" applyFont="1" applyFill="1" applyBorder="1" applyAlignment="1">
      <alignment horizontal="center" vertical="center" wrapText="1" readingOrder="1"/>
    </xf>
    <xf numFmtId="0" fontId="6" fillId="4" borderId="11" xfId="0" applyFont="1" applyFill="1" applyBorder="1" applyAlignment="1">
      <alignment horizontal="center" vertical="center" wrapText="1" readingOrder="1"/>
    </xf>
    <xf numFmtId="0" fontId="6" fillId="4" borderId="12" xfId="0" applyFont="1" applyFill="1" applyBorder="1" applyAlignment="1">
      <alignment horizontal="center" vertical="center" wrapText="1" readingOrder="1"/>
    </xf>
  </cellXfs>
  <cellStyles count="4">
    <cellStyle name="Millares" xfId="1" builtinId="3"/>
    <cellStyle name="Moneda" xfId="2" builtinId="4"/>
    <cellStyle name="Normal" xfId="0" builtinId="0"/>
    <cellStyle name="Porcentaje" xfId="3" builtinId="5"/>
  </cellStyles>
  <dxfs count="6">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165" formatCode="_-* #,##0_-;\-* #,##0_-;_-* &quot;-&quot;??_-;_-@_-"/>
    </dxf>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Fontalvo Balza" refreshedDate="45012.383987037036" createdVersion="8" refreshedVersion="8" minRefreshableVersion="3" recordCount="37" xr:uid="{9B6CEC1F-52B0-4F97-8CC7-23BECF4995D1}">
  <cacheSource type="worksheet">
    <worksheetSource ref="A1:O38" sheet="PAT 2023"/>
  </cacheSource>
  <cacheFields count="23">
    <cacheField name="CODIGO PRODUCTO" numFmtId="0">
      <sharedItems containsSemiMixedTypes="0" containsString="0" containsNumber="1" containsInteger="1" minValue="1" maxValue="10"/>
    </cacheField>
    <cacheField name="OBJETIVO - OKR" numFmtId="0">
      <sharedItems containsBlank="1" count="12">
        <s v="Incrementar el consumo de servicios/proyectos  en empresas micros, pequeñas y grandes"/>
        <s v="Desarrollar plataformas e iniciativas para densificar el ecosistema de consolidacion de la economia Solidaria y Social"/>
        <s v="Mejorar la comunicación y experiencia del empresario"/>
        <m/>
        <s v="Consolidación de alianza e iniciativas con las instituciones del ecosistema "/>
        <s v="Desarrollar un portafolio de servicios según las necesidades de los agentes del territorio"/>
        <s v="6. Mejorar la comunicación y experiencia del empresario" u="1"/>
        <s v="5. Consolidación de alianza e iniciativas con las instituciones del ecosistema " u="1"/>
        <s v="2. Desarrollar un portafolio de servicios según las necesidades de los agentes del territorio" u="1"/>
        <s v="3. Incrementar el consumo de servicios/proyectos  en empresas micros, pequeñas y grandes" u="1"/>
        <s v="1. Mayor cobertura, eficiencia y transaccionalidad de los servicios registrales" u="1"/>
        <s v="4. Desarrollar plataformas e iniciativas para densificar el ecosistema de consolidacion de la economia Solidaria y Social" u="1"/>
      </sharedItems>
    </cacheField>
    <cacheField name="KEY RESULT - KR" numFmtId="0">
      <sharedItems containsBlank="1" count="14">
        <s v="Relacionamiento permanente con los agentes de desarrollo del territorio (Empresarios)"/>
        <s v="Relacionamiento permanente con los agentes de desarrollo del territorio (Economia social y solidaria)"/>
        <s v="Llegar a 200.000 empresarios ofreciendo el portafolio de servicios. "/>
        <m/>
        <s v="Relacionamiento permanente con los agentes de desarrollo del territorio (Instituciones)"/>
        <s v="Diversificación y desarrollo de nuevos Proyectos y/o servicios por palanca (Financiación, internacionalización, H. Gerenciales y apropiación tecnologica)."/>
        <s v="Relacionamiento permanente con el mapa relacional del territorio por cada agente (Empresarios)" u="1"/>
        <s v="Disminución del costo de servicios registrales " u="1"/>
        <s v="Relacionamiento permanente con el mapa relacional del territorio por cada agente (Instituciones)" u="1"/>
        <s v="Incrementar el engagement en un mínimo de 22 % (de 0,018 % a 0,022%)" u="1"/>
        <s v="Relacionamiento permanente con el mapa relacional del territorio por cada agente (Economia social y solidaria)" u="1"/>
        <s v="Lograr niveles de satisfacción del cliente por encima del 95%." u="1"/>
        <s v="Afiliados activos 1.500." u="1"/>
        <s v="Facilitar a 89.534 matriculados el acceso a Servicios de registros." u="1"/>
      </sharedItems>
    </cacheField>
    <cacheField name="PRODUCTOS" numFmtId="0">
      <sharedItems containsBlank="1"/>
    </cacheField>
    <cacheField name="ADENDA PRELIMINAR GOBIERNO_x000a_- LINEAS DE ACCIÓN" numFmtId="0">
      <sharedItems containsBlank="1"/>
    </cacheField>
    <cacheField name="ADENDA DEL GOBIERNO_x000a_- PROGRAMAS ESTRATEGICOS" numFmtId="0">
      <sharedItems containsBlank="1"/>
    </cacheField>
    <cacheField name="PILARES SECTORIALES - GUÍA PAT 2023" numFmtId="0">
      <sharedItems containsBlank="1" count="7">
        <s v="DESARROLLO DE LA ECONOMÍA REGIONAL"/>
        <s v="INDUSTRIA"/>
        <s v="EDUCACIÓN"/>
        <s v="AGRICULTURA"/>
        <s v="INCLUSIÓN SOCIAL"/>
        <s v="TURISMO"/>
        <m u="1"/>
      </sharedItems>
    </cacheField>
    <cacheField name="ACTIVIDAD RELACIONADA - GUÍA PAT 2023" numFmtId="0">
      <sharedItems/>
    </cacheField>
    <cacheField name="NUEVA GUIA SUPER" numFmtId="0">
      <sharedItems count="6">
        <s v="DESARROLLO DE LA ECONOMÍA REGIONAL"/>
        <s v="INDUSTRIA"/>
        <s v="EDUCACIÓN"/>
        <s v="AGRICULTURA Y AGROINDUSTRIA"/>
        <s v="INCLUSIÓN SOCIAL"/>
        <s v="SERVICIOS"/>
      </sharedItems>
    </cacheField>
    <cacheField name="ADENDA NUEVA" numFmtId="0">
      <sharedItems containsBlank="1" count="16">
        <s v="14. Atención y acompañamiento a emprendedores."/>
        <s v="2. Fábricas de productividad y sostenibilidad."/>
        <s v="4. Centros de reindustrialización Zascas."/>
        <s v="13. Fabricas de internacionalización."/>
        <s v="10. Inclusión financiera para las microempresas y las unidades económicas de la Economía Popular y Comunitaria."/>
        <s v="1. Ruta de apoyo al desarrollo de las microempresas (FortaleSER)"/>
        <s v="5. Conglomerados empresariales o clúster."/>
        <s v="11. Innovación empresarial."/>
        <s v="6. Simplificación y automatización de trámites"/>
        <s v="7. Impulso a las unidades económicas de la economía popular y comunitaria (EPC), incluyendo poblaciones vulnerables y pueblos étnicos."/>
        <s v="16. Turismo."/>
        <s v="9. Arreglos institucionales para la Reindustrialización."/>
        <s v="3. Programa de economía circular para mipymes y unidades económicas de la economía popular y comunitaria ECOS."/>
        <s v="15. Promoción de la inversión extranjera directa."/>
        <m u="1"/>
        <s v="12. Digitalización" u="1"/>
      </sharedItems>
    </cacheField>
    <cacheField name="PRESENTACIÓN JUNTA" numFmtId="0">
      <sharedItems containsBlank="1"/>
    </cacheField>
    <cacheField name="NOMBRE ACTIVIDAD" numFmtId="0">
      <sharedItems count="36">
        <s v="Realizar Programa Caribe Exponencial"/>
        <s v="Realizar Programa Endeavor"/>
        <s v="Realizar Programa Impulsa Tu Empresa 3.0. Technoserve"/>
        <s v="Realizar Programa Fabricas de Productividad"/>
        <s v="Realizar Programa Negocios más Productivos"/>
        <s v="Promover los Centros de Reindustrialización - Zascas"/>
        <s v="Realizar Programa de Exporta a Toda Marcha"/>
        <s v="Realizar Programa de Negocios más Internacionales"/>
        <s v="Realizar Programa de Seminario Oportunidades Comerciales"/>
        <s v="Realizar Programa de Atlantico Acelera"/>
        <s v="Realizar Programa de Conexión Financiera"/>
        <s v="Realizar Programa Fortaleser (Ruta de apoyo al desarrollo de la microempresa)"/>
        <s v="Realizar Programa Espacios De Mentalidad y Cultura"/>
        <s v="Apoyar al desarrollo sostenible y la eficiencia energética en la región Caribe de Colombia."/>
        <s v="Diseñar hoja de ruta de internacionalización para Cluster Salud y Farma."/>
        <s v="Diseñar hoja de ruta de internacionalización para Cluster Espacios Habitables."/>
        <s v="Implementar procesos de gestión de la calidad para el acceso a investigaciones clínicas con miras a la generación de nuevos negocios en el Cluster Salud y Farma del Atlántico."/>
        <s v="Implementar la puesta en marcha de nuestro evento Caribe BIZ Forum"/>
        <s v="Gestionar la logística y apoyo para eventos internos y externos"/>
        <s v="Incentivar la promoción de la oferta de programas, proyectos y servicios de la CCBaq para generación de consumo y venta"/>
        <s v="Simplificación y automatización de trámites"/>
        <s v="Realizar gestión de proyectos para el clúster de alimentos"/>
        <s v="Realizar programa Crecer es Posible"/>
        <s v="Realizar Espacios de Relacionamiento Local: Ferias Comerciales y Encuentros Regionales"/>
        <s v="Fortalecer la economía social solidaria"/>
        <s v="Coadyuvar en el proceso de internacionalización de las empresas pertenecientes al segmento de negocios Turismo de Eventos y Negocios +Ocio de acuerdo con la vocación del Territorio"/>
        <s v="Coadyuvar al acceso de contenidos especializados punta de lanza necesarios para ingresar y sostenerse en los mercados internacionales."/>
        <s v="Realizar programa de desarrollo de talentos"/>
        <s v="Empresas participantes de iniciativas de relacionamiento institucional y activación territorial "/>
        <s v="Construcción de contenido y  mapas de relacionamiento y la agenda de articulación "/>
        <s v="Realizar programa de economía circular"/>
        <s v="Articular entidades públicas y privadas a través de CRC"/>
        <s v="Brindar servicios de formación y consultoría para empresas"/>
        <s v="Liderar la gestión con entidades aliadas para cumplir los objetivos misionales de la CCB en cuanto a la Educación y la Cultura. Biblioteca Piloto del Caribe - CLENA"/>
        <s v="Realizar actividades con las mujeres cabezas de hogar."/>
        <s v="Liderar la gestión con entidades aliadas para cubrir diferentes objetivos culturales y de región. Fundesarrollo, Protransparencia, Bquilla Como vamos, Probarranquilla y Otros."/>
      </sharedItems>
    </cacheField>
    <cacheField name="DESCRIPCION ACTIVIDAD" numFmtId="0">
      <sharedItems longText="1"/>
    </cacheField>
    <cacheField name="AREA RESPONSABLE" numFmtId="0">
      <sharedItems/>
    </cacheField>
    <cacheField name="CENTRO COSTO" numFmtId="0">
      <sharedItems containsSemiMixedTypes="0" containsString="0" containsNumber="1" containsInteger="1" minValue="10023" maxValue="60023"/>
    </cacheField>
    <cacheField name="META_x000a_NUMERICA EMPRESARIOS" numFmtId="165">
      <sharedItems containsString="0" containsBlank="1" containsNumber="1" containsInteger="1" minValue="0" maxValue="15800"/>
    </cacheField>
    <cacheField name="META_x000a_NUMERICA OTROS" numFmtId="165">
      <sharedItems containsString="0" containsBlank="1" containsNumber="1" containsInteger="1" minValue="0" maxValue="200000"/>
    </cacheField>
    <cacheField name="RECURSOS PUBLICOS" numFmtId="0">
      <sharedItems containsSemiMixedTypes="0" containsString="0" containsNumber="1" containsInteger="1" minValue="0" maxValue="1437440000"/>
    </cacheField>
    <cacheField name="RECURSOS PRIVADOS" numFmtId="0">
      <sharedItems containsSemiMixedTypes="0" containsString="0" containsNumber="1" containsInteger="1" minValue="0" maxValue="145578871"/>
    </cacheField>
    <cacheField name="NOMINA PERSONAL PROGRAMAS" numFmtId="0">
      <sharedItems containsString="0" containsBlank="1" containsNumber="1" minValue="0" maxValue="288907624.59074003"/>
    </cacheField>
    <cacheField name="¿El objetivo de esta actividad es que el comerciante mejore o crezca en su negocio? SI/ NO" numFmtId="0">
      <sharedItems/>
    </cacheField>
    <cacheField name="¿Este programa tiene algún costo para el comerciante?  SI/ NO" numFmtId="0">
      <sharedItems/>
    </cacheField>
    <cacheField name="¿Hay un seguimiento posterior a la culminación de la actividad (Programa)? SI/ N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3"/>
    <x v="0"/>
    <x v="0"/>
    <s v="EMPRENDIMIENTO – ACELERACIÓN"/>
    <s v="INCREMENTO DE LA PRODUCTIVIDAD Y LA SOSTENIBILIDAD AMBIENTAL"/>
    <s v="4. Atención y acompañamiento a emprendedores."/>
    <x v="0"/>
    <s v="1. Fortalecimiento Empresarial."/>
    <x v="0"/>
    <x v="0"/>
    <s v="INDUSTRIA"/>
    <x v="0"/>
    <s v="Programa de aceleración para impulsar el tejido empresarial y crear una dinámica de crecimiento y desarrollo económico en la región Caribe, que se desarrolla en alianza con Uninorte, Fun Promigas, FSD, Fundesarrollo, ProBquilla y Andi Seccional Atco y Magdalena, con el fin de impactar (10) empresas, dando continuidad al mismo y el objetivo común de construcción de comunidad empresarial y de posicionamiento de Barranquilla como centro de emprendimiento de alto impacto local, regional y nacional. "/>
    <s v="Gestión de Proyectos y Medición de Impacto"/>
    <n v="50023"/>
    <n v="10"/>
    <m/>
    <n v="150000000"/>
    <n v="0"/>
    <n v="23124168.953309704"/>
    <s v="SI"/>
    <s v="NO"/>
    <s v="SI"/>
  </r>
  <r>
    <n v="3"/>
    <x v="0"/>
    <x v="0"/>
    <s v="EMPRENDIMIENTO – ACELERACIÓN"/>
    <s v="INCREMENTO DE LA PRODUCTIVIDAD Y LA SOSTENIBILIDAD AMBIENTAL"/>
    <s v="4. Atención y acompañamiento a emprendedores."/>
    <x v="0"/>
    <s v="1. Fortalecimiento Empresarial."/>
    <x v="0"/>
    <x v="0"/>
    <s v="INDUSTRIA"/>
    <x v="1"/>
    <s v="Aunar esfuerzos entre ENDEAVOR y LA CÁMARA para llevar a cabo acciones para fortalecer y transformar (15) emprendimientos de alto potencial en empresas que escalen y se conviertan en jugadores nacionales, regionales y globales, para que contribuyan al desarrollo económico de la región y generen impacto._x000a__x000a_Aunar esfuerzos entre ENDEAVOR y LA CÁMARA para llevar a cabo acciones para fortalecer y transformar (10) emprendimientos de alto potencial en empresas que escalen y se conviertan en jugadores nacionales, regionales y globales, para que contribuyan al desarrollo económico de la región y generen impacto."/>
    <s v="Gestión de Proyectos y Medición de Impacto"/>
    <n v="50023"/>
    <n v="25"/>
    <m/>
    <n v="66000000"/>
    <n v="0"/>
    <n v="10174634.33945627"/>
    <s v="SI"/>
    <s v="NO"/>
    <s v="SI"/>
  </r>
  <r>
    <n v="5"/>
    <x v="0"/>
    <x v="0"/>
    <s v="PRODUCTIVIDAD"/>
    <s v="INCREMENTO DE LA PRODUCTIVIDAD Y LA SOSTENIBILIDAD AMBIENTAL"/>
    <s v="2. Ruta de apoyo al desarrollo de la microempresas."/>
    <x v="0"/>
    <s v="2. Comercio."/>
    <x v="1"/>
    <x v="0"/>
    <s v="INDUSTRIA"/>
    <x v="2"/>
    <s v="Apoyar (45) empresas en Barranquilla y el Atlántico a mejorar sus resultados económicos a través de un proceso de aceleración empresarial que se desarrollará en el marco de la participación en el programa IMPULSA TU EMPRESA 3.0, programa de aceleración empresarial que busca apoyar a las empresas para que sean más competitivas, rentables y mejoren en indicadores del programa (incremento en ventas, empleos generados, acceso a financiamiento, enlaces comerciales)."/>
    <s v="Gestión de Proyectos y Medición de Impacto"/>
    <n v="50023"/>
    <n v="45"/>
    <m/>
    <n v="10500000"/>
    <n v="0"/>
    <n v="2247620.2600137899"/>
    <s v="SI"/>
    <s v="NO"/>
    <s v="SI"/>
  </r>
  <r>
    <n v="5"/>
    <x v="0"/>
    <x v="0"/>
    <s v="PRODUCTIVIDAD"/>
    <s v="INCREMENTO DE LA PRODUCTIVIDAD Y LA SOSTENIBILIDAD AMBIENTAL"/>
    <s v="6. Fábricas de productividad y sostenibilidad."/>
    <x v="1"/>
    <s v="b. Actividades que busquen el aumento de la Productividad"/>
    <x v="1"/>
    <x v="1"/>
    <s v="INDUSTRIA"/>
    <x v="3"/>
    <s v="Aunar esfuerzos técnicos, administrativos y financieros entre COLOMBIA PRODUCTIVA y la CÁMARA para brindar asistencia técnica especializada a (100) empresas del programa “Fábricas de Productividad”."/>
    <s v="Gestión de Proyectos y Medición de Impacto"/>
    <n v="50023"/>
    <n v="100"/>
    <m/>
    <n v="1437440000"/>
    <n v="0"/>
    <n v="0"/>
    <s v="SI"/>
    <s v="NO"/>
    <s v="SI"/>
  </r>
  <r>
    <n v="5"/>
    <x v="0"/>
    <x v="0"/>
    <s v="PRODUCTIVIDAD"/>
    <s v="INCREMENTO DE LA PRODUCTIVIDAD Y LA SOSTENIBILIDAD AMBIENTAL"/>
    <s v="2. Ruta de apoyo al desarrollo de la microempresas."/>
    <x v="1"/>
    <s v="b. Actividades que busquen el aumento de la Productividad"/>
    <x v="1"/>
    <x v="1"/>
    <s v="INDUSTRIA"/>
    <x v="4"/>
    <s v="Aumentar la productividad de empresas del Departamento del Atlántico a través del acompañamiento y asistencia técnica en una de ocho (8) posibles líneas de intervención del programa: Gestión de calidad, Transformación digital, Gestión comercial, Logística, Productividad Laboral, Desarrollo de Productos, Productividad Operacional, Sostenibilidad Ambiental y Eficiencia Energética."/>
    <s v="Gestión de Proyectos y Medición de Impacto"/>
    <n v="50023"/>
    <n v="175"/>
    <m/>
    <n v="443000000"/>
    <n v="0"/>
    <n v="288907624.59074003"/>
    <s v="SI"/>
    <s v="NO"/>
    <s v="SI"/>
  </r>
  <r>
    <n v="5"/>
    <x v="0"/>
    <x v="0"/>
    <s v="PRODUCTIVIDAD"/>
    <s v="INCREMENTO DE LA PRODUCTIVIDAD Y LA SOSTENIBILIDAD AMBIENTAL"/>
    <s v="4. Atención y acompañamiento a emprendedores."/>
    <x v="2"/>
    <s v="b. Capacitaciones asesorías y asistencia técnica comerciantes sin costo."/>
    <x v="2"/>
    <x v="2"/>
    <s v="EDUCACIÓN"/>
    <x v="5"/>
    <s v="Promover los Centros de Reindustrialización."/>
    <s v="Gestión de Proyectos y Medición de Impacto"/>
    <n v="50023"/>
    <n v="200"/>
    <m/>
    <n v="110000000"/>
    <n v="0"/>
    <n v="16957723.899093784"/>
    <s v="SI"/>
    <s v="NO"/>
    <s v="SI"/>
  </r>
  <r>
    <n v="7"/>
    <x v="0"/>
    <x v="0"/>
    <s v="INTERNACIONALIZACIÓN"/>
    <s v="DIVERSIFICACIÓN EXPORTADORA"/>
    <s v="1. Articulación y capacidad exportadora - d. Promoción de servicios."/>
    <x v="0"/>
    <s v="3. Acceso a Mercados Nacionales y/o Internacionalización - "/>
    <x v="1"/>
    <x v="3"/>
    <s v="INDUSTRIA"/>
    <x v="6"/>
    <s v="Apoyo a la internacionalización de (30) empresas del sector servicios en el departamento del atlántico, mediante el diseño e implementación de una ruta de intervención para el fortalecimiento de las capacidades técnicas, brindando herramientas y acompañamiento a las empresas en la comercialización de sus servicios en los mercados internacionales de manera exitosa."/>
    <s v="Gestión de Proyectos y Medición de Impacto"/>
    <n v="50023"/>
    <n v="30"/>
    <m/>
    <n v="35500000"/>
    <n v="0"/>
    <n v="5472719.9856166299"/>
    <s v="SI"/>
    <s v="NO"/>
    <s v="SI"/>
  </r>
  <r>
    <n v="7"/>
    <x v="0"/>
    <x v="0"/>
    <s v="INTERNACIONALIZACIÓN"/>
    <s v="DIVERSIFICACIÓN EXPORTADORA"/>
    <s v="1. Articulación y capacidad exportadora - b. Calidad para la internacionalización."/>
    <x v="0"/>
    <s v="3. Acceso a Mercados Nacionales y/o Internacionalización - "/>
    <x v="1"/>
    <x v="3"/>
    <s v="INDUSTRIA"/>
    <x v="7"/>
    <s v="Programa de Internacionalización: Acompañamiento a empresas de todos los segmentos  para acelerar los procesos que les permitan acceder a mercados internacionales en el corto y mediano plazo. Brindar asesoria grupal o individual a los empresarios para la obtención de certificaciones requeridas para la exportación de sus productos o servicios de acuerdo con el sector al que pertenecen y el mercado de destino. Esta actividad será acompañada con programas B2B."/>
    <s v="Gestión de Proyectos y Medición de Impacto"/>
    <n v="50023"/>
    <n v="1360"/>
    <m/>
    <n v="544100000"/>
    <n v="145578871"/>
    <n v="83879068.849972099"/>
    <s v="SI"/>
    <s v="NO"/>
    <s v="SI"/>
  </r>
  <r>
    <n v="7"/>
    <x v="0"/>
    <x v="0"/>
    <s v="INTERNACIONALIZACIÓN"/>
    <s v="DIVERSIFICACIÓN EXPORTADORA"/>
    <s v="1. Articulación y capacidad exportadora - e. Facilitación del Comercio."/>
    <x v="0"/>
    <s v="3. Acceso a Mercados Nacionales y/o Internacionalización - "/>
    <x v="1"/>
    <x v="3"/>
    <s v="INDUSTRIA"/>
    <x v="8"/>
    <s v="Se definirán  mercados destinos sobre los cuales se deben desarrollar oportunidades comerciales que adicionalmente ayuden en la captación de (100) empresarios que desean iniciar su proceso formativo en materia de internacionalización."/>
    <s v="Gestión de Proyectos y Medición de Impacto"/>
    <n v="50023"/>
    <n v="100"/>
    <m/>
    <n v="56000000"/>
    <n v="0"/>
    <n v="8633023.0759022906"/>
    <s v="SI"/>
    <s v="NO"/>
    <s v="SI"/>
  </r>
  <r>
    <n v="3"/>
    <x v="0"/>
    <x v="0"/>
    <s v="EMPRENDIMIENTO – ACELERACIÓN"/>
    <s v="INCREMENTO DE LA PRODUCTIVIDAD Y LA SOSTENIBILIDAD AMBIENTAL"/>
    <s v="8. Innovación empresarial."/>
    <x v="0"/>
    <s v="1. Fortalecimiento Empresarial."/>
    <x v="0"/>
    <x v="0"/>
    <s v="INDUSTRIA"/>
    <x v="9"/>
    <s v="El proyecto propuesto tiene como propósito resolver fallas de mercado relacionadas con el vacío de capital para el financiamiento en las etapas tempranas del proceso empresarial que afecta el nivel de desarrollo tecnológico que es incorporado por las Empresas de Alto Potencial Innovador (EAPI) en sus iniciativas. Acompañar las (20) empresas seleccionadas en el año 2022."/>
    <s v="Gestión de Proyectos y Medición de Impacto"/>
    <n v="50023"/>
    <n v="20"/>
    <m/>
    <n v="38000000"/>
    <n v="0"/>
    <n v="5858122.8015051251"/>
    <s v="SI"/>
    <s v="NO"/>
    <s v="SI"/>
  </r>
  <r>
    <n v="3"/>
    <x v="0"/>
    <x v="0"/>
    <s v="EMPRENDIMIENTO – ACELERACIÓN"/>
    <s v="INCREMENTO DE LA PRODUCTIVIDAD Y LA SOSTENIBILIDAD AMBIENTAL"/>
    <s v="2. Ruta de apoyo al desarrollo de la microempresas."/>
    <x v="0"/>
    <s v="1. Fortalecimiento Empresarial."/>
    <x v="0"/>
    <x v="4"/>
    <s v="INDUSTRIA"/>
    <x v="10"/>
    <s v="Esta actividad permitirá a los empresarios por medio de herramientas tecnologícas, identificar los productos del ecosistema financiero con relación a sus necesidades de financiación, mediante un diagnostico de registros. El objetivo es atender (500) empresas."/>
    <s v="Gestión de Proyectos y Medición de Impacto"/>
    <n v="50023"/>
    <n v="500"/>
    <m/>
    <n v="15000000"/>
    <n v="0"/>
    <n v="2312416.8953309706"/>
    <s v="SI"/>
    <s v="NO"/>
    <s v="SI"/>
  </r>
  <r>
    <n v="1"/>
    <x v="1"/>
    <x v="1"/>
    <s v="ECONOMÍA SOCIAL Y SOLIDARIA (F)"/>
    <s v="INCREMENTO DE LA PRODUCTIVIDAD Y LA SOSTENIBILIDAD AMBIENTAL"/>
    <s v="2. Ruta de apoyo al desarrollo de la microempresas."/>
    <x v="0"/>
    <s v="2. Comercio."/>
    <x v="1"/>
    <x v="5"/>
    <s v="INDUSTRIA"/>
    <x v="11"/>
    <s v="Programa de Fortalecimiento empresarial dirigido a empresas micro (Audiencia Consolidación de la Economía Formal). El objetivo es acompañar (1.200) empresas."/>
    <s v="Gestión de Proyectos y Medición de Impacto"/>
    <n v="50023"/>
    <n v="1200"/>
    <m/>
    <n v="894423640"/>
    <n v="0"/>
    <n v="137777067.82195103"/>
    <s v="SI"/>
    <s v="NO"/>
    <s v="SI"/>
  </r>
  <r>
    <n v="2"/>
    <x v="0"/>
    <x v="0"/>
    <s v="EMPRENDIMIENTO"/>
    <s v="INCREMENTO DE LA PRODUCTIVIDAD Y LA SOSTENIBILIDAD AMBIENTAL"/>
    <s v="4. Atención y acompañamiento a emprendedores."/>
    <x v="2"/>
    <s v="b. Capacitaciones asesorías y asistencia técnica comerciantes sin costo."/>
    <x v="2"/>
    <x v="0"/>
    <s v="INDUSTRIA"/>
    <x v="12"/>
    <s v="Acompañamiento a entidades que hacen parte del Ecosistema, participación en charlas, espacios de socialización, charlas inspiracionales. Semana Global de Emprendimiento. El objetivo es atender (550) empresas."/>
    <s v="Gestión de Proyectos y Medición de Impacto"/>
    <n v="50023"/>
    <n v="550"/>
    <m/>
    <n v="20000000"/>
    <n v="0"/>
    <n v="3083222.5271079605"/>
    <s v="SI"/>
    <s v="NO"/>
    <s v="SI"/>
  </r>
  <r>
    <n v="10"/>
    <x v="0"/>
    <x v="0"/>
    <s v="CLÚSTERS"/>
    <s v="INCREMENTO DE LA PRODUCTIVIDAD Y LA SOSTENIBILIDAD AMBIENTAL"/>
    <s v="12. Conglomerados empresariales o clusters."/>
    <x v="1"/>
    <s v="b. Actividades que busquen el aumento de productividad._x000a_d. Actividades de innovación."/>
    <x v="1"/>
    <x v="6"/>
    <s v="INDUSTRIA"/>
    <x v="13"/>
    <s v="Apoyar la transición energética y la adopción de prácticas sostenibles por parte del tejido productivo (mipymes/pymes) de la región del Caribe colombiano. El objetivo es acompañar 300 empresas en el departamento del Atlántico. Aporte CCB relacionado con proyecto al Invest."/>
    <s v="Relacionamiento Empresarial de Avanzada"/>
    <n v="50023"/>
    <n v="300"/>
    <m/>
    <n v="150000000"/>
    <n v="0"/>
    <n v="14803881.297524331"/>
    <s v="SI"/>
    <s v="NO"/>
    <s v="NO"/>
  </r>
  <r>
    <n v="10"/>
    <x v="0"/>
    <x v="0"/>
    <s v="CLÚSTERS"/>
    <s v="DIVERSIFICACIÓN EXPORTADORA"/>
    <s v="1. Articulación y capacidad exportadora."/>
    <x v="1"/>
    <s v="b. Actividades que busquen el aumento de productividad._x000a_d. Actividades de innovación."/>
    <x v="1"/>
    <x v="6"/>
    <s v="INDUSTRIA"/>
    <x v="14"/>
    <s v="Diseñar la estrategia para la puesta en marcha de un plan de acción que permita la internacionalización de las empresas del Cluster Salud. El objetivo es acompañar (12) empresas."/>
    <s v="Relacionamiento Empresarial de Avanzada"/>
    <n v="50023"/>
    <n v="12"/>
    <m/>
    <n v="30000000"/>
    <n v="0"/>
    <n v="265489894.01069519"/>
    <s v="SI"/>
    <s v="NO"/>
    <s v="NO"/>
  </r>
  <r>
    <n v="10"/>
    <x v="0"/>
    <x v="0"/>
    <s v="CLÚSTERS"/>
    <s v="DIVERSIFICACIÓN EXPORTADORA"/>
    <s v="1. Articulación y capacidad exportadora."/>
    <x v="1"/>
    <s v="c. Actividades de incentivo para la industria nacional."/>
    <x v="1"/>
    <x v="6"/>
    <s v="INDUSTRIA"/>
    <x v="15"/>
    <s v="Diseñar la estrategia para la puesta en marcha de un plan de acción que permita la internacionalización de las empresas del Cluster Espacios Habitables. El objetivo es acompañar (11) empresas."/>
    <s v="Relacionamiento Empresarial de Avanzada"/>
    <n v="50023"/>
    <n v="11"/>
    <m/>
    <n v="70000000"/>
    <n v="0"/>
    <n v="194769302.35828876"/>
    <s v="SI"/>
    <s v="NO"/>
    <s v="NO"/>
  </r>
  <r>
    <n v="10"/>
    <x v="0"/>
    <x v="0"/>
    <s v="CLÚSTERS"/>
    <s v="INCREMENTO DE LA PRODUCTIVIDAD Y LA SOSTENIBILIDAD AMBIENTAL"/>
    <s v="12. Conglomerados empresariales o clusters."/>
    <x v="1"/>
    <s v="b. Actividades que busquen el aumento de productividad._x000a_d. Actividades de innovación."/>
    <x v="1"/>
    <x v="6"/>
    <s v="INDUSTRIA"/>
    <x v="16"/>
    <s v="Fortalecer el Clúster  Salud en el Atlántico, mediante la implementación de procesos de gestión de la calidad, que contribuyan al cierre de brechas de productividad y a promover la generación de empleos especializados necesarios para el acceso a investigaciones clínicas con miras a la generación de nuevos negocios. El objetivo es acompañar (15) empresas."/>
    <s v="Relacionamiento Empresarial de Avanzada"/>
    <n v="50023"/>
    <n v="15"/>
    <m/>
    <n v="49600000"/>
    <n v="0"/>
    <n v="27080366.631016042"/>
    <s v="SI"/>
    <s v="NO"/>
    <s v="NO"/>
  </r>
  <r>
    <n v="9"/>
    <x v="2"/>
    <x v="2"/>
    <s v="OTRAS DIMENSIONES"/>
    <s v="INCREMENTO DE LA PRODUCTIVIDAD Y LA SOSTENIBILIDAD AMBIENTAL"/>
    <m/>
    <x v="0"/>
    <s v="1. Fortalecimiento Empresarial."/>
    <x v="0"/>
    <x v="7"/>
    <s v="INDUSTRIA"/>
    <x v="17"/>
    <s v="Realizar el evento (1) Caribe BIZ Forum, un espacio donde reuniremos +1.000 empresarios de todos los niveles en busca de conocimiento aplicado de las tendencias mundiales, en el marco de una economía emergente que ofrece muchas oportunidades, en 2023 nos enfocaremos en Reactivación Empresarial, los aspectos fundamentales que nos conectan con la fuente de inspiración de nuestros negocios; fortaleceremos las estrategias de comercialización del foro con miras a incrementar su participación a nivel local, nacional e internacional, a través del diseño de experiencias memorables como factor diferencial."/>
    <s v="Conexiones Empresariales"/>
    <n v="60023"/>
    <n v="1500"/>
    <m/>
    <n v="900000000"/>
    <n v="50000000"/>
    <m/>
    <s v="SI"/>
    <s v="NO"/>
    <s v="NO"/>
  </r>
  <r>
    <n v="9"/>
    <x v="2"/>
    <x v="2"/>
    <s v="OTRAS DIMENSIONES"/>
    <s v="INCREMENTO DE LA PRODUCTIVIDAD Y LA SOSTENIBILIDAD AMBIENTAL"/>
    <m/>
    <x v="2"/>
    <s v="a. Actividades de capacitaciones, asesorías y asistencia técnica a comerciantes, con y sin costo."/>
    <x v="2"/>
    <x v="6"/>
    <s v="INDUSTRIA"/>
    <x v="18"/>
    <s v="Lograr gestionar y coordinar encuentros empresariales y espacios de formación  incluyendo la planeación, logística y diseño de experiencias enriquecedoras para el empresario local, nacional e internacional."/>
    <s v="Conexiones Empresariales"/>
    <n v="60023"/>
    <m/>
    <n v="0"/>
    <n v="83900000"/>
    <n v="0"/>
    <m/>
    <s v="SI"/>
    <s v="NO"/>
    <s v="NO"/>
  </r>
  <r>
    <n v="9"/>
    <x v="2"/>
    <x v="2"/>
    <s v="OTRAS DIMENSIONES"/>
    <s v="INCREMENTO DE LA PRODUCTIVIDAD Y LA SOSTENIBILIDAD AMBIENTAL"/>
    <m/>
    <x v="1"/>
    <s v="a. Actividades que busquen el proceso de industrialización. d. Actividades de innovación. e. Actividdaes de tecnogolías digitales y comercio electrónico."/>
    <x v="1"/>
    <x v="4"/>
    <s v="INDUSTRIA"/>
    <x v="19"/>
    <s v="Incrementar la visibilidad de programas, proyectos y servicios de la CCBaq  en los emprendedores y empresarios, mediante los diferentes canales y a partir de las palancas estratégicas segmentadas por tipo de audiencias: Clústers​, Empresarios​. Economía Social y Solidaria​ y Servicios Registrales. Llegar a 200.000 empresarios  a través de los distintos canales."/>
    <s v="Conexiones Empresariales"/>
    <n v="60023"/>
    <n v="0"/>
    <n v="200000"/>
    <n v="156000000"/>
    <n v="0"/>
    <m/>
    <s v="SI"/>
    <s v="NO"/>
    <s v="NO"/>
  </r>
  <r>
    <n v="9"/>
    <x v="3"/>
    <x v="3"/>
    <m/>
    <m/>
    <m/>
    <x v="0"/>
    <s v="1. Fortalecimiento Empresarial."/>
    <x v="0"/>
    <x v="8"/>
    <m/>
    <x v="20"/>
    <s v="Rediseñar e implementar mejoras en los procesos registrales, con el objetivo de automatizar y simplificar los trámites para facilitar el quehacer de los comerciantes y empresarios. Ampliar la cobertura geográfica de la Ventanilla Única Empresarial en el Departamento del Atlántico."/>
    <s v="Servicios Registrales y Transformación Digital"/>
    <n v="20023"/>
    <m/>
    <n v="0"/>
    <n v="424657000"/>
    <n v="0"/>
    <n v="0"/>
    <s v="SI"/>
    <s v="NO"/>
    <s v="SI"/>
  </r>
  <r>
    <n v="10"/>
    <x v="0"/>
    <x v="0"/>
    <s v="CLÚSTERS"/>
    <s v="INCREMENTO DE LA PRODUCTIVIDAD Y LA SOSTENIBILIDAD AMBIENTAL"/>
    <s v="2. Ruta de apoyo al desarrollo de la microempresas."/>
    <x v="3"/>
    <s v="a. Actividades que busquen el aumento de productividad y trabajo en el campo."/>
    <x v="3"/>
    <x v="6"/>
    <s v="AGRICULTURA"/>
    <x v="21"/>
    <s v="Desarollar proyectos con actividades de formación, asesoría y consultoría a unidades productivas del sector agro, en alianza con otras Entidades como SENA, Panaca, Fundación Santodomingo, entre otros, con actividades como el Programa de desarrollo de agronegocios, diplomado en asociatividad y credifomento. El objetivo es beneficiar (700) Unidades Productivas. "/>
    <s v="Relacionamiento Empresarial de Avanzada"/>
    <n v="50023"/>
    <n v="700"/>
    <m/>
    <n v="559505000"/>
    <n v="0"/>
    <n v="189219026.70247567"/>
    <s v="SI"/>
    <s v="NO"/>
    <s v="NO"/>
  </r>
  <r>
    <n v="1"/>
    <x v="1"/>
    <x v="1"/>
    <s v="ECONOMÍA SOCIAL Y SOLIDARIA (F)"/>
    <s v="INCREMENTO DE LA PRODUCTIVIDAD Y LA SOSTENIBILIDAD AMBIENTAL"/>
    <s v="2. Ruta de apoyo al desarrollo de la microempresas."/>
    <x v="4"/>
    <s v="2. Economía popular."/>
    <x v="4"/>
    <x v="9"/>
    <s v="INDUSTRIA"/>
    <x v="22"/>
    <s v="Capacitar a (500) unidades productivas para que mejoren su competitividad y sean mas sostenibles."/>
    <s v="Economía Social y Solidaria"/>
    <n v="50023"/>
    <n v="500"/>
    <m/>
    <n v="82800000"/>
    <n v="0"/>
    <n v="15845661.818181818"/>
    <s v="SI"/>
    <s v="NO"/>
    <s v="NO"/>
  </r>
  <r>
    <n v="9"/>
    <x v="1"/>
    <x v="1"/>
    <s v="OTRAS DIMENSIONES"/>
    <s v="INCREMENTO DE LA PRODUCTIVIDAD Y LA SOSTENIBILIDAD AMBIENTAL"/>
    <s v="7. Transferencia de tecnología y creación de nuevos mercados."/>
    <x v="0"/>
    <s v="2. Comercio."/>
    <x v="4"/>
    <x v="9"/>
    <s v="INDUSTRIA"/>
    <x v="23"/>
    <s v="Vincular a (350) unidades productivas en ferias comerciales o en el encuentro regional para que expongan sus productos y/o servicios, aumentando su visibilidad  ante los compradores potenciales"/>
    <s v="Economía Social y Solidaria"/>
    <n v="50023"/>
    <n v="350"/>
    <m/>
    <n v="119000000"/>
    <n v="0"/>
    <n v="22773354.545454547"/>
    <s v="SI"/>
    <s v="NO"/>
    <s v="NO"/>
  </r>
  <r>
    <n v="1"/>
    <x v="1"/>
    <x v="1"/>
    <s v="ECONOMÍA SOCIAL Y SOLIDARIA (F)"/>
    <s v="FINANCIAMIENTO"/>
    <s v="Inclusión financiera para las microempresas y las unidades económicas de la Economía Popular y Comunitaria."/>
    <x v="4"/>
    <s v="2. Economía popular."/>
    <x v="4"/>
    <x v="9"/>
    <s v="INDUSTRIA"/>
    <x v="24"/>
    <s v="Asesorar, Capacitar o Vincular a espacios de relacionamiento financiero o comercial a por lo menos (50) unidades productivas, fomentando el fortalecimiento de la economía social solidaria._x000a__x000a_Realizar asesorías y/o capacitaciones individuales o grupales a (100) unidades productivas en temas relacionados con alfabetización digital, familiarizandolos con herramientas y/o aplicaciones tecnológicas. "/>
    <s v="Economía Social y Solidaria"/>
    <n v="50023"/>
    <n v="150"/>
    <m/>
    <n v="225000000"/>
    <n v="0"/>
    <n v="43058863.63636364"/>
    <s v="SI"/>
    <s v="NO"/>
    <s v="NO"/>
  </r>
  <r>
    <n v="7"/>
    <x v="0"/>
    <x v="0"/>
    <s v="INTERNACIONALIZACIÓN"/>
    <s v="TURISMO"/>
    <s v="Programas de promoción, apoyo y fortalecimiento al turismo a nivel regional."/>
    <x v="5"/>
    <s v="a. Actividades que incentiven el turismo de la región._x000a_b. Actividades de capacitación sobre el mejoramiento de la calidad de experiencia al turista nacional o extranjero."/>
    <x v="5"/>
    <x v="10"/>
    <s v="TURISMO"/>
    <x v="25"/>
    <s v="Diseñar e implementar la estrategia de internacionalización a través de certificaciones y programas especializados para los empresarios de la cadena de valor TEN+Ocio de manera que puedan acceder a mercados internacionales."/>
    <s v="Relacionamiento Empresarial de Avanzada"/>
    <n v="50023"/>
    <n v="10"/>
    <m/>
    <n v="61000000"/>
    <n v="0"/>
    <n v="131212437.31249999"/>
    <s v="SI"/>
    <s v="NO"/>
    <s v="NO"/>
  </r>
  <r>
    <n v="7"/>
    <x v="0"/>
    <x v="0"/>
    <s v="INTERNACIONALIZACIÓN"/>
    <s v="TURISMO"/>
    <s v="Programas de promoción, apoyo y fortalecimiento al turismo a nivel regional."/>
    <x v="5"/>
    <s v="a. Actividades que incentiven el turismo de la región._x000a_b. Actividades de capacitación sobre el mejoramiento de la calidad de experiencia al turista nacional o extranjero."/>
    <x v="5"/>
    <x v="10"/>
    <s v="TURISMO"/>
    <x v="26"/>
    <s v="Analizar, diseñar e implementar estrategica de contenidos especializados de manera que los empresarios del segmento de negocio TEN+Ocio puedan acceder y les facilite su acceso a los mercados internacionales."/>
    <s v="Relacionamiento Empresarial de Avanzada"/>
    <n v="50023"/>
    <n v="1300"/>
    <m/>
    <n v="99000000"/>
    <n v="0"/>
    <n v="212951332.6875"/>
    <s v="SI"/>
    <s v="NO"/>
    <s v="NO"/>
  </r>
  <r>
    <n v="9"/>
    <x v="4"/>
    <x v="4"/>
    <s v="OTRAS DIMENSIONES"/>
    <s v="INSTITUCIONALIDAD"/>
    <s v="2. Conexión entre las empresas y la oferta del gobierno."/>
    <x v="0"/>
    <s v="1. Fortalecimiento Empresarial."/>
    <x v="0"/>
    <x v="11"/>
    <s v="INDUSTRIA"/>
    <x v="27"/>
    <s v="_x000a_Realizar programa de desarrollo de talento de acuerdo a las apuestas priorizadas del territorio. Ejecutar el Fondo de becas de cooperación capital humano (2021 – 2026)"/>
    <s v="Relacionamiento Institucional"/>
    <n v="50023"/>
    <m/>
    <n v="3"/>
    <n v="64826024"/>
    <n v="0"/>
    <n v="46260428"/>
    <s v="SI"/>
    <s v="NO"/>
    <s v="SI"/>
  </r>
  <r>
    <n v="9"/>
    <x v="4"/>
    <x v="4"/>
    <s v="OTRAS DIMENSIONES"/>
    <s v="INSTITUCIONALIDAD"/>
    <s v="2. Conexión entre las empresas y la oferta del gobierno."/>
    <x v="0"/>
    <s v="1. Fortalecimiento Empresarial."/>
    <x v="0"/>
    <x v="11"/>
    <s v="INDUSTRIA"/>
    <x v="28"/>
    <s v="Vincular a las diferentes instituciones en iniciativas y proyectos claves para el desarrollo de la región  y desarrollar espacios de interacción con parlamentarios, ministerios, entidades multilaterales y embajadas._x000a__x000a_Implementar un programa de seguridad empresarial que permita la promoción de la seguridad en las actividades del tejido empresarial."/>
    <s v="Relacionamiento Institucional"/>
    <n v="50023"/>
    <n v="1700"/>
    <m/>
    <n v="80754000"/>
    <n v="0"/>
    <n v="57626773"/>
    <s v="SI"/>
    <s v="NO"/>
    <s v="SI"/>
  </r>
  <r>
    <n v="9"/>
    <x v="4"/>
    <x v="4"/>
    <s v="OTRAS DIMENSIONES"/>
    <s v="INSTITUCIONALIDAD"/>
    <s v="2. Conexión entre las empresas y la oferta del gobierno."/>
    <x v="0"/>
    <s v="1. Fortalecimiento Empresarial."/>
    <x v="0"/>
    <x v="11"/>
    <s v="INDUSTRIA"/>
    <x v="29"/>
    <s v="Diseñar mecanismos de participación empresarial para incidir en política pública de la región y generar contenido y definir un esquema de entrega de contenido de vanguardia para los actores clave de identidad y desarrollo local"/>
    <s v="Relacionamiento Institucional"/>
    <n v="50023"/>
    <m/>
    <n v="20"/>
    <n v="51326000"/>
    <n v="500000"/>
    <n v="36983495"/>
    <s v="SI"/>
    <s v="NO"/>
    <s v="SI"/>
  </r>
  <r>
    <n v="9"/>
    <x v="5"/>
    <x v="5"/>
    <s v="OTRAS DIMENSIONES"/>
    <m/>
    <m/>
    <x v="1"/>
    <s v="d. Actividades de innovación."/>
    <x v="1"/>
    <x v="12"/>
    <s v="INDUSTRIA"/>
    <x v="30"/>
    <s v="Incentivar modelos de producción, optimizando eflujo de stocks y materiales a través de la reutilización de residuos, el uso de energía no convencionales y la búsqueda de nuevas formas asociatividad."/>
    <s v="Relacionamiento Empresarial de Avanzada"/>
    <n v="50023"/>
    <n v="10"/>
    <m/>
    <n v="82000000"/>
    <n v="0"/>
    <n v="0"/>
    <s v="SI"/>
    <s v="NO"/>
    <s v="SI"/>
  </r>
  <r>
    <n v="9"/>
    <x v="4"/>
    <x v="4"/>
    <s v="OTRAS DIMENSIONES"/>
    <s v="INSTITUCIONALIDAD"/>
    <s v="2. Conexión entre las empresas y la oferta del gobierno."/>
    <x v="0"/>
    <s v="1. Fortalecimiento Empresarial."/>
    <x v="0"/>
    <x v="11"/>
    <s v="INDUSTRIA"/>
    <x v="31"/>
    <s v="Realizar articulación de entidades públicas y privadas, la cual busca generar acción e iniciativas en desarrollo a la competitividad del departamento. El objetivo es realizar mesas de trabajo interinstitucionales. Acompañamiento de la hoja de ruta en internacionalización."/>
    <s v="Relacionamiento Institucional"/>
    <n v="50023"/>
    <n v="60"/>
    <m/>
    <n v="111000000"/>
    <n v="0"/>
    <m/>
    <s v="SI"/>
    <s v="NO"/>
    <s v="SI"/>
  </r>
  <r>
    <n v="9"/>
    <x v="4"/>
    <x v="4"/>
    <s v="OTRAS DIMENSIONES"/>
    <s v="INSTITUCIONALIDAD"/>
    <s v="2. Conexión entre las empresas y la oferta del gobierno."/>
    <x v="0"/>
    <s v="1. Fortalecimiento Empresarial."/>
    <x v="0"/>
    <x v="11"/>
    <s v="INDUSTRIA"/>
    <x v="31"/>
    <s v="Formular el plan de trabajo anual de la CRCI orientado a la implementación de los programas, proyectos e iniciativas de la Agenda Departamental de Competitividad e Innovación; así como al fortalecimiento técnico de la CRCI y de su modelo de gobernanza."/>
    <s v="Relacionamiento Institucional"/>
    <n v="50023"/>
    <m/>
    <n v="1"/>
    <n v="96033000"/>
    <n v="0"/>
    <m/>
    <s v="SI"/>
    <s v="NO"/>
    <s v="SI"/>
  </r>
  <r>
    <n v="9"/>
    <x v="0"/>
    <x v="0"/>
    <s v="OTRAS DIMENSIONES"/>
    <s v="INCREMENTO DE LA PRODUCTIVIDAD Y LA SOSTENIBILIDAD AMBIENTAL"/>
    <m/>
    <x v="2"/>
    <s v="a. Actividades de capacitaciones, asesorías y asistencia técnica a comerciantes, con y sin costo."/>
    <x v="2"/>
    <x v="6"/>
    <s v="EDUCACIÓN"/>
    <x v="32"/>
    <s v="Diseñar oferta de formación y consultoría para lograr el desarrollo de competencias y habilidades en las empresas. El objetivo es atender 15.800 comerciantes."/>
    <s v="Conexiones Empresariales"/>
    <n v="60023"/>
    <n v="15800"/>
    <m/>
    <n v="278881160"/>
    <n v="0"/>
    <m/>
    <s v="SI"/>
    <s v="NO"/>
    <s v="NO"/>
  </r>
  <r>
    <n v="10"/>
    <x v="4"/>
    <x v="4"/>
    <s v="CLÚSTERS"/>
    <s v="INSTITUCIONALIDAD"/>
    <m/>
    <x v="2"/>
    <s v="b. Capacitaciones asesorías y asistencia técnica comerciantes sin costo."/>
    <x v="2"/>
    <x v="10"/>
    <m/>
    <x v="33"/>
    <s v="Realizar fortalecimiento empresarial consolidando la dinámica económica regional, a través de programas integrales que propendan por un tejido empresarial más amplio y fortaleciendo la interacción con la ciudadanía. Alianza con Clena."/>
    <s v="Presidencia"/>
    <n v="10023"/>
    <m/>
    <n v="1"/>
    <n v="836341408"/>
    <n v="0"/>
    <m/>
    <s v="SI"/>
    <s v="NO"/>
    <s v="NO"/>
  </r>
  <r>
    <n v="9"/>
    <x v="3"/>
    <x v="3"/>
    <s v="OTRAS DIMENSIONES"/>
    <m/>
    <m/>
    <x v="4"/>
    <s v="1. Participación de mujeres e igualdad de genero."/>
    <x v="4"/>
    <x v="9"/>
    <m/>
    <x v="34"/>
    <s v="Realizar actividades de certificación de Liderazgo Femenino. Esta formación buscará replicar en sus empresas la CLF, en contexto impactarán con su liderazgo."/>
    <s v="Presidencia"/>
    <n v="10023"/>
    <n v="50"/>
    <m/>
    <n v="0"/>
    <n v="0"/>
    <m/>
    <s v="SI"/>
    <s v="NO"/>
    <s v="NO"/>
  </r>
  <r>
    <n v="10"/>
    <x v="4"/>
    <x v="4"/>
    <s v="CLÚSTERS"/>
    <s v="INSTITUCIONALIDAD"/>
    <m/>
    <x v="0"/>
    <s v="1. Fortalecimiento Empresarial."/>
    <x v="0"/>
    <x v="13"/>
    <m/>
    <x v="35"/>
    <s v="Realizar fortalecimiento empresarial consolidando la dinámica económica regional, a través de programas integrales que propendan por un tejido empresarial más amplio y robustecido en pro del emprendimiento y la movilidad empresarial. Protransparencia, Barranquilla como vamos, Probarranquilla, Fundesarrollo y otros."/>
    <s v="Presidencia"/>
    <n v="10023"/>
    <m/>
    <n v="12"/>
    <n v="415869592"/>
    <n v="0"/>
    <m/>
    <s v="SI"/>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9740F8-F5E1-4A38-9E22-F1396605D9BB}"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8" firstHeaderRow="0" firstDataRow="1" firstDataCol="1"/>
  <pivotFields count="23">
    <pivotField showAll="0"/>
    <pivotField showAll="0"/>
    <pivotField showAll="0"/>
    <pivotField showAll="0"/>
    <pivotField showAll="0"/>
    <pivotField showAll="0"/>
    <pivotField showAll="0"/>
    <pivotField showAll="0"/>
    <pivotField showAll="0"/>
    <pivotField axis="axisRow" dataField="1" showAll="0">
      <items count="17">
        <item x="5"/>
        <item x="4"/>
        <item x="7"/>
        <item m="1" x="15"/>
        <item x="3"/>
        <item x="0"/>
        <item x="13"/>
        <item x="10"/>
        <item x="1"/>
        <item x="12"/>
        <item x="2"/>
        <item x="6"/>
        <item x="9"/>
        <item x="11"/>
        <item m="1" x="14"/>
        <item x="8"/>
        <item t="default"/>
      </items>
    </pivotField>
    <pivotField showAll="0"/>
    <pivotField showAll="0"/>
    <pivotField showAll="0"/>
    <pivotField showAll="0"/>
    <pivotField showAll="0"/>
    <pivotField dataField="1" showAll="0"/>
    <pivotField showAll="0"/>
    <pivotField dataField="1" numFmtId="164" showAll="0"/>
    <pivotField dataField="1" numFmtId="164" showAll="0"/>
    <pivotField showAll="0"/>
    <pivotField showAll="0"/>
    <pivotField showAll="0"/>
    <pivotField showAll="0"/>
  </pivotFields>
  <rowFields count="1">
    <field x="9"/>
  </rowFields>
  <rowItems count="15">
    <i>
      <x/>
    </i>
    <i>
      <x v="1"/>
    </i>
    <i>
      <x v="2"/>
    </i>
    <i>
      <x v="4"/>
    </i>
    <i>
      <x v="5"/>
    </i>
    <i>
      <x v="6"/>
    </i>
    <i>
      <x v="7"/>
    </i>
    <i>
      <x v="8"/>
    </i>
    <i>
      <x v="9"/>
    </i>
    <i>
      <x v="10"/>
    </i>
    <i>
      <x v="11"/>
    </i>
    <i>
      <x v="12"/>
    </i>
    <i>
      <x v="13"/>
    </i>
    <i>
      <x v="15"/>
    </i>
    <i t="grand">
      <x/>
    </i>
  </rowItems>
  <colFields count="1">
    <field x="-2"/>
  </colFields>
  <colItems count="4">
    <i>
      <x/>
    </i>
    <i i="1">
      <x v="1"/>
    </i>
    <i i="2">
      <x v="2"/>
    </i>
    <i i="3">
      <x v="3"/>
    </i>
  </colItems>
  <dataFields count="4">
    <dataField name="Cuenta de ADENDA NUEVA" fld="9" subtotal="count" baseField="0" baseItem="0"/>
    <dataField name="Suma de META_x000a_NUMERICA EMPRESARIOS" fld="15" baseField="0" baseItem="0" numFmtId="165"/>
    <dataField name="Suma de RECURSOS PUBLICOS" fld="17" baseField="0" baseItem="0" numFmtId="165"/>
    <dataField name="Suma de RECURSOS PRIVADOS" fld="18" baseField="0" baseItem="0" numFmtId="165"/>
  </dataFields>
  <formats count="6">
    <format dxfId="5">
      <pivotArea outline="0" collapsedLevelsAreSubtotals="1" fieldPosition="0">
        <references count="1">
          <reference field="4294967294" count="2" selected="0">
            <x v="2"/>
            <x v="3"/>
          </reference>
        </references>
      </pivotArea>
    </format>
    <format dxfId="4">
      <pivotArea outline="0" collapsedLevelsAreSubtotals="1" fieldPosition="0">
        <references count="1">
          <reference field="4294967294" count="1" selected="0">
            <x v="1"/>
          </reference>
        </references>
      </pivotArea>
    </format>
    <format dxfId="3">
      <pivotArea type="all" dataOnly="0" outline="0" fieldPosition="0"/>
    </format>
    <format dxfId="2">
      <pivotArea outline="0" collapsedLevelsAreSubtotals="1" fieldPosition="0"/>
    </format>
    <format dxfId="1">
      <pivotArea dataOnly="0" labelOnly="1" grandRow="1" outline="0"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56EE-BF69-4D13-B349-C0F9747DA695}">
  <dimension ref="A1:K14"/>
  <sheetViews>
    <sheetView topLeftCell="D1" zoomScale="80" zoomScaleNormal="80" workbookViewId="0">
      <selection activeCell="D9" sqref="D9:D10"/>
    </sheetView>
  </sheetViews>
  <sheetFormatPr baseColWidth="10" defaultColWidth="30.54296875" defaultRowHeight="12" x14ac:dyDescent="0.3"/>
  <cols>
    <col min="1" max="1" width="13.1796875" style="50" hidden="1" customWidth="1"/>
    <col min="2" max="2" width="30.54296875" style="50" hidden="1" customWidth="1"/>
    <col min="3" max="3" width="42.453125" style="50" hidden="1" customWidth="1"/>
    <col min="4" max="4" width="33.54296875" style="50" customWidth="1"/>
    <col min="5" max="5" width="34.54296875" style="50" customWidth="1"/>
    <col min="6" max="6" width="35.453125" style="50" customWidth="1"/>
    <col min="7" max="7" width="13.1796875" style="50" customWidth="1"/>
    <col min="8" max="8" width="63.453125" style="50" customWidth="1"/>
    <col min="9" max="16384" width="30.54296875" style="50"/>
  </cols>
  <sheetData>
    <row r="1" spans="1:11" x14ac:dyDescent="0.3">
      <c r="A1" s="48" t="s">
        <v>0</v>
      </c>
      <c r="B1" s="49" t="s">
        <v>1</v>
      </c>
      <c r="C1" s="49" t="s">
        <v>2</v>
      </c>
      <c r="D1" s="49" t="s">
        <v>3</v>
      </c>
      <c r="E1" s="49" t="s">
        <v>4</v>
      </c>
      <c r="F1" s="49" t="s">
        <v>5</v>
      </c>
      <c r="G1" s="49" t="s">
        <v>6</v>
      </c>
      <c r="H1" s="49" t="s">
        <v>7</v>
      </c>
    </row>
    <row r="2" spans="1:11" ht="24" x14ac:dyDescent="0.3">
      <c r="A2" s="118" t="s">
        <v>8</v>
      </c>
      <c r="B2" s="121" t="s">
        <v>9</v>
      </c>
      <c r="C2" s="127" t="s">
        <v>10</v>
      </c>
      <c r="D2" s="124" t="s">
        <v>11</v>
      </c>
      <c r="E2" s="52" t="s">
        <v>12</v>
      </c>
      <c r="F2" s="52" t="s">
        <v>13</v>
      </c>
      <c r="G2" s="53">
        <v>89534</v>
      </c>
      <c r="H2" s="52" t="s">
        <v>14</v>
      </c>
    </row>
    <row r="3" spans="1:11" x14ac:dyDescent="0.3">
      <c r="A3" s="119"/>
      <c r="B3" s="123"/>
      <c r="C3" s="128"/>
      <c r="D3" s="125"/>
      <c r="E3" s="52" t="s">
        <v>15</v>
      </c>
      <c r="F3" s="52" t="s">
        <v>16</v>
      </c>
      <c r="G3" s="53">
        <v>1500</v>
      </c>
      <c r="H3" s="52" t="s">
        <v>17</v>
      </c>
    </row>
    <row r="4" spans="1:11" ht="48" x14ac:dyDescent="0.3">
      <c r="A4" s="119"/>
      <c r="B4" s="51" t="s">
        <v>18</v>
      </c>
      <c r="C4" s="52" t="s">
        <v>19</v>
      </c>
      <c r="D4" s="126"/>
      <c r="E4" s="52" t="s">
        <v>20</v>
      </c>
      <c r="F4" s="52" t="s">
        <v>21</v>
      </c>
      <c r="G4" s="54" t="s">
        <v>22</v>
      </c>
      <c r="H4" s="52" t="s">
        <v>23</v>
      </c>
    </row>
    <row r="5" spans="1:11" ht="48" x14ac:dyDescent="0.3">
      <c r="A5" s="129" t="s">
        <v>24</v>
      </c>
      <c r="B5" s="114" t="s">
        <v>25</v>
      </c>
      <c r="C5" s="2" t="s">
        <v>26</v>
      </c>
      <c r="D5" s="2" t="s">
        <v>27</v>
      </c>
      <c r="E5" s="2" t="s">
        <v>28</v>
      </c>
      <c r="F5" s="2" t="s">
        <v>29</v>
      </c>
      <c r="G5" s="2">
        <v>4</v>
      </c>
      <c r="H5" s="2" t="s">
        <v>30</v>
      </c>
    </row>
    <row r="6" spans="1:11" ht="36" x14ac:dyDescent="0.3">
      <c r="A6" s="130"/>
      <c r="B6" s="131"/>
      <c r="C6" s="2" t="s">
        <v>31</v>
      </c>
      <c r="D6" s="116" t="s">
        <v>32</v>
      </c>
      <c r="E6" s="112" t="s">
        <v>33</v>
      </c>
      <c r="F6" s="2" t="s">
        <v>34</v>
      </c>
      <c r="G6" s="55">
        <v>0.15</v>
      </c>
      <c r="H6" s="2" t="s">
        <v>35</v>
      </c>
      <c r="I6" s="50">
        <v>5000</v>
      </c>
      <c r="J6" s="60">
        <f>+I6+I8</f>
        <v>11727</v>
      </c>
    </row>
    <row r="7" spans="1:11" ht="48" x14ac:dyDescent="0.3">
      <c r="A7" s="130"/>
      <c r="B7" s="131"/>
      <c r="C7" s="2" t="s">
        <v>36</v>
      </c>
      <c r="D7" s="117"/>
      <c r="E7" s="113"/>
      <c r="F7" s="2" t="s">
        <v>37</v>
      </c>
      <c r="G7" s="55">
        <v>0.03</v>
      </c>
      <c r="H7" s="2" t="s">
        <v>38</v>
      </c>
      <c r="J7" s="60">
        <v>2783</v>
      </c>
      <c r="K7" s="61">
        <f>+J7*1.8</f>
        <v>5009.4000000000005</v>
      </c>
    </row>
    <row r="8" spans="1:11" ht="36" x14ac:dyDescent="0.3">
      <c r="A8" s="130"/>
      <c r="B8" s="131"/>
      <c r="C8" s="2" t="s">
        <v>39</v>
      </c>
      <c r="D8" s="2" t="s">
        <v>40</v>
      </c>
      <c r="E8" s="2" t="s">
        <v>41</v>
      </c>
      <c r="F8" s="2" t="s">
        <v>42</v>
      </c>
      <c r="G8" s="56">
        <v>1000</v>
      </c>
      <c r="H8" s="2" t="s">
        <v>43</v>
      </c>
      <c r="I8" s="50">
        <v>6727</v>
      </c>
      <c r="J8" s="61">
        <f>+J6-J7</f>
        <v>8944</v>
      </c>
    </row>
    <row r="9" spans="1:11" ht="132" x14ac:dyDescent="0.3">
      <c r="A9" s="130"/>
      <c r="B9" s="131"/>
      <c r="C9" s="114" t="s">
        <v>44</v>
      </c>
      <c r="D9" s="116" t="s">
        <v>45</v>
      </c>
      <c r="E9" s="116" t="s">
        <v>46</v>
      </c>
      <c r="F9" s="2" t="s">
        <v>47</v>
      </c>
      <c r="G9" s="2">
        <v>5</v>
      </c>
      <c r="H9" s="2" t="s">
        <v>48</v>
      </c>
      <c r="I9" s="50">
        <v>1000</v>
      </c>
    </row>
    <row r="10" spans="1:11" ht="84" x14ac:dyDescent="0.3">
      <c r="A10" s="130"/>
      <c r="B10" s="131"/>
      <c r="C10" s="115"/>
      <c r="D10" s="117"/>
      <c r="E10" s="117"/>
      <c r="F10" s="2" t="s">
        <v>49</v>
      </c>
      <c r="G10" s="56">
        <v>500</v>
      </c>
      <c r="H10" s="2" t="s">
        <v>50</v>
      </c>
      <c r="I10" s="50">
        <f>700+1000</f>
        <v>1700</v>
      </c>
    </row>
    <row r="11" spans="1:11" ht="24" x14ac:dyDescent="0.3">
      <c r="A11" s="118" t="s">
        <v>24</v>
      </c>
      <c r="B11" s="121" t="s">
        <v>51</v>
      </c>
      <c r="C11" s="52" t="s">
        <v>52</v>
      </c>
      <c r="D11" s="124" t="s">
        <v>53</v>
      </c>
      <c r="E11" s="52" t="s">
        <v>54</v>
      </c>
      <c r="F11" s="52" t="s">
        <v>55</v>
      </c>
      <c r="G11" s="57">
        <v>0.95</v>
      </c>
      <c r="H11" s="52"/>
    </row>
    <row r="12" spans="1:11" ht="24" x14ac:dyDescent="0.3">
      <c r="A12" s="119"/>
      <c r="B12" s="122"/>
      <c r="C12" s="52" t="s">
        <v>56</v>
      </c>
      <c r="D12" s="125"/>
      <c r="E12" s="52" t="s">
        <v>57</v>
      </c>
      <c r="F12" s="52" t="s">
        <v>58</v>
      </c>
      <c r="G12" s="57">
        <v>0.8</v>
      </c>
      <c r="H12" s="52"/>
    </row>
    <row r="13" spans="1:11" ht="24" x14ac:dyDescent="0.3">
      <c r="A13" s="119"/>
      <c r="B13" s="122"/>
      <c r="C13" s="52" t="s">
        <v>59</v>
      </c>
      <c r="D13" s="125"/>
      <c r="E13" s="52" t="s">
        <v>60</v>
      </c>
      <c r="F13" s="52" t="s">
        <v>61</v>
      </c>
      <c r="G13" s="53">
        <v>200000</v>
      </c>
      <c r="H13" s="52"/>
    </row>
    <row r="14" spans="1:11" ht="24" x14ac:dyDescent="0.3">
      <c r="A14" s="120"/>
      <c r="B14" s="123"/>
      <c r="C14" s="52" t="s">
        <v>62</v>
      </c>
      <c r="D14" s="126"/>
      <c r="E14" s="52" t="s">
        <v>63</v>
      </c>
      <c r="F14" s="52" t="s">
        <v>64</v>
      </c>
      <c r="G14" s="57">
        <v>2.1999999999999999E-2</v>
      </c>
      <c r="H14" s="52" t="s">
        <v>65</v>
      </c>
    </row>
  </sheetData>
  <mergeCells count="14">
    <mergeCell ref="A2:A4"/>
    <mergeCell ref="B2:B3"/>
    <mergeCell ref="C2:C3"/>
    <mergeCell ref="D2:D4"/>
    <mergeCell ref="A5:A10"/>
    <mergeCell ref="B5:B10"/>
    <mergeCell ref="D6:D7"/>
    <mergeCell ref="E6:E7"/>
    <mergeCell ref="C9:C10"/>
    <mergeCell ref="D9:D10"/>
    <mergeCell ref="E9:E10"/>
    <mergeCell ref="A11:A14"/>
    <mergeCell ref="B11:B14"/>
    <mergeCell ref="D11:D1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CD34-C8A6-4C53-8240-1F06B4ACDDDD}">
  <dimension ref="A2:E35"/>
  <sheetViews>
    <sheetView zoomScale="70" zoomScaleNormal="70" workbookViewId="0">
      <selection activeCell="C1" sqref="C1"/>
    </sheetView>
  </sheetViews>
  <sheetFormatPr baseColWidth="10" defaultColWidth="11.453125" defaultRowHeight="14.5" x14ac:dyDescent="0.35"/>
  <cols>
    <col min="1" max="1" width="116.54296875" bestFit="1" customWidth="1"/>
    <col min="2" max="2" width="23.54296875" bestFit="1" customWidth="1"/>
    <col min="3" max="3" width="36.453125" bestFit="1" customWidth="1"/>
    <col min="4" max="4" width="26.1796875" bestFit="1" customWidth="1"/>
    <col min="5" max="5" width="26.54296875" bestFit="1" customWidth="1"/>
  </cols>
  <sheetData>
    <row r="2" spans="1:5" ht="15" thickBot="1" x14ac:dyDescent="0.4"/>
    <row r="3" spans="1:5" ht="15" thickBot="1" x14ac:dyDescent="0.4">
      <c r="A3" s="98" t="s">
        <v>81</v>
      </c>
      <c r="B3" s="90" t="s">
        <v>82</v>
      </c>
      <c r="C3" s="91" t="s">
        <v>83</v>
      </c>
      <c r="D3" s="91" t="s">
        <v>84</v>
      </c>
      <c r="E3" s="92" t="s">
        <v>85</v>
      </c>
    </row>
    <row r="4" spans="1:5" x14ac:dyDescent="0.35">
      <c r="A4" s="99" t="s">
        <v>86</v>
      </c>
      <c r="B4" s="106">
        <v>1</v>
      </c>
      <c r="C4" s="101">
        <v>1200</v>
      </c>
      <c r="D4" s="101">
        <v>894423640</v>
      </c>
      <c r="E4" s="102">
        <v>0</v>
      </c>
    </row>
    <row r="5" spans="1:5" x14ac:dyDescent="0.35">
      <c r="A5" s="99" t="s">
        <v>87</v>
      </c>
      <c r="B5" s="107">
        <v>2</v>
      </c>
      <c r="C5" s="95">
        <v>500</v>
      </c>
      <c r="D5" s="95">
        <v>171000000</v>
      </c>
      <c r="E5" s="88">
        <v>0</v>
      </c>
    </row>
    <row r="6" spans="1:5" x14ac:dyDescent="0.35">
      <c r="A6" s="99" t="s">
        <v>88</v>
      </c>
      <c r="B6" s="107">
        <v>1</v>
      </c>
      <c r="C6" s="95">
        <v>1500</v>
      </c>
      <c r="D6" s="95">
        <v>900000000</v>
      </c>
      <c r="E6" s="88">
        <v>50000000</v>
      </c>
    </row>
    <row r="7" spans="1:5" x14ac:dyDescent="0.35">
      <c r="A7" s="99" t="s">
        <v>89</v>
      </c>
      <c r="B7" s="107">
        <v>3</v>
      </c>
      <c r="C7" s="95">
        <v>1490</v>
      </c>
      <c r="D7" s="95">
        <v>635600000</v>
      </c>
      <c r="E7" s="88">
        <v>145578871</v>
      </c>
    </row>
    <row r="8" spans="1:5" x14ac:dyDescent="0.35">
      <c r="A8" s="99" t="s">
        <v>90</v>
      </c>
      <c r="B8" s="107">
        <v>5</v>
      </c>
      <c r="C8" s="95">
        <v>650</v>
      </c>
      <c r="D8" s="95">
        <v>284500000</v>
      </c>
      <c r="E8" s="88">
        <v>0</v>
      </c>
    </row>
    <row r="9" spans="1:5" x14ac:dyDescent="0.35">
      <c r="A9" s="99" t="s">
        <v>91</v>
      </c>
      <c r="B9" s="107">
        <v>1</v>
      </c>
      <c r="C9" s="95"/>
      <c r="D9" s="95">
        <v>415869592</v>
      </c>
      <c r="E9" s="88">
        <v>0</v>
      </c>
    </row>
    <row r="10" spans="1:5" x14ac:dyDescent="0.35">
      <c r="A10" s="99" t="s">
        <v>92</v>
      </c>
      <c r="B10" s="107">
        <v>3</v>
      </c>
      <c r="C10" s="95">
        <v>1310</v>
      </c>
      <c r="D10" s="95">
        <v>996341408</v>
      </c>
      <c r="E10" s="88">
        <v>0</v>
      </c>
    </row>
    <row r="11" spans="1:5" x14ac:dyDescent="0.35">
      <c r="A11" s="99" t="s">
        <v>93</v>
      </c>
      <c r="B11" s="107">
        <v>2</v>
      </c>
      <c r="C11" s="95">
        <v>275</v>
      </c>
      <c r="D11" s="95">
        <v>1880440000</v>
      </c>
      <c r="E11" s="88">
        <v>0</v>
      </c>
    </row>
    <row r="12" spans="1:5" x14ac:dyDescent="0.35">
      <c r="A12" s="99" t="s">
        <v>94</v>
      </c>
      <c r="B12" s="107">
        <v>1</v>
      </c>
      <c r="C12" s="95">
        <v>10</v>
      </c>
      <c r="D12" s="95">
        <v>82000000</v>
      </c>
      <c r="E12" s="88">
        <v>0</v>
      </c>
    </row>
    <row r="13" spans="1:5" x14ac:dyDescent="0.35">
      <c r="A13" s="99" t="s">
        <v>95</v>
      </c>
      <c r="B13" s="107">
        <v>1</v>
      </c>
      <c r="C13" s="95">
        <v>200</v>
      </c>
      <c r="D13" s="95">
        <v>110000000</v>
      </c>
      <c r="E13" s="88">
        <v>0</v>
      </c>
    </row>
    <row r="14" spans="1:5" x14ac:dyDescent="0.35">
      <c r="A14" s="99" t="s">
        <v>96</v>
      </c>
      <c r="B14" s="107">
        <v>7</v>
      </c>
      <c r="C14" s="95">
        <v>16838</v>
      </c>
      <c r="D14" s="95">
        <v>1221886160</v>
      </c>
      <c r="E14" s="88">
        <v>0</v>
      </c>
    </row>
    <row r="15" spans="1:5" x14ac:dyDescent="0.35">
      <c r="A15" s="99" t="s">
        <v>97</v>
      </c>
      <c r="B15" s="107">
        <v>4</v>
      </c>
      <c r="C15" s="95">
        <v>1050</v>
      </c>
      <c r="D15" s="95">
        <v>426800000</v>
      </c>
      <c r="E15" s="88">
        <v>0</v>
      </c>
    </row>
    <row r="16" spans="1:5" x14ac:dyDescent="0.35">
      <c r="A16" s="99" t="s">
        <v>98</v>
      </c>
      <c r="B16" s="107">
        <v>5</v>
      </c>
      <c r="C16" s="95">
        <v>1760</v>
      </c>
      <c r="D16" s="95">
        <v>403939024</v>
      </c>
      <c r="E16" s="88">
        <v>500000</v>
      </c>
    </row>
    <row r="17" spans="1:5" ht="15" thickBot="1" x14ac:dyDescent="0.4">
      <c r="A17" s="99" t="s">
        <v>99</v>
      </c>
      <c r="B17" s="107">
        <v>1</v>
      </c>
      <c r="C17" s="95"/>
      <c r="D17" s="95">
        <v>424657000</v>
      </c>
      <c r="E17" s="88">
        <v>0</v>
      </c>
    </row>
    <row r="18" spans="1:5" ht="15" thickBot="1" x14ac:dyDescent="0.4">
      <c r="A18" s="96" t="s">
        <v>100</v>
      </c>
      <c r="B18" s="108">
        <v>37</v>
      </c>
      <c r="C18" s="89">
        <v>26783</v>
      </c>
      <c r="D18" s="89">
        <v>8847456824</v>
      </c>
      <c r="E18" s="100">
        <v>196078871</v>
      </c>
    </row>
    <row r="22" spans="1:5" ht="15" thickBot="1" x14ac:dyDescent="0.4"/>
    <row r="23" spans="1:5" ht="15" thickBot="1" x14ac:dyDescent="0.4"/>
    <row r="29" spans="1:5" ht="15" thickBot="1" x14ac:dyDescent="0.4"/>
    <row r="30" spans="1:5" ht="15" thickBot="1" x14ac:dyDescent="0.4"/>
    <row r="31" spans="1:5" ht="15" thickBot="1" x14ac:dyDescent="0.4"/>
    <row r="32" spans="1:5" ht="15" thickBot="1" x14ac:dyDescent="0.4"/>
    <row r="34" ht="15" thickBot="1" x14ac:dyDescent="0.4"/>
    <row r="35" ht="15" thickBot="1"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2E16-EB92-49FE-80A9-AE4F3216A442}">
  <dimension ref="A1:AA38"/>
  <sheetViews>
    <sheetView tabSelected="1" zoomScale="80" zoomScaleNormal="80" workbookViewId="0">
      <pane xSplit="1" ySplit="1" topLeftCell="B2" activePane="bottomRight" state="frozen"/>
      <selection pane="topRight" activeCell="F1" sqref="F1"/>
      <selection pane="bottomLeft" activeCell="A2" sqref="A2"/>
      <selection pane="bottomRight" activeCell="D2" sqref="D2"/>
    </sheetView>
  </sheetViews>
  <sheetFormatPr baseColWidth="10" defaultColWidth="10.81640625" defaultRowHeight="12" x14ac:dyDescent="0.3"/>
  <cols>
    <col min="1" max="1" width="13.81640625" style="1" customWidth="1"/>
    <col min="2" max="2" width="13.54296875" style="1" customWidth="1"/>
    <col min="3" max="3" width="17.08984375" style="1" customWidth="1"/>
    <col min="4" max="4" width="48.26953125" style="1" bestFit="1" customWidth="1"/>
    <col min="5" max="5" width="15.6328125" style="1" customWidth="1"/>
    <col min="6" max="6" width="11.81640625" style="1" bestFit="1" customWidth="1"/>
    <col min="7" max="7" width="16" style="1" bestFit="1" customWidth="1"/>
    <col min="8" max="8" width="15" style="1" bestFit="1" customWidth="1"/>
    <col min="9" max="9" width="15.08984375" style="1" bestFit="1" customWidth="1"/>
    <col min="10" max="10" width="20.6328125" style="59" bestFit="1" customWidth="1"/>
    <col min="11" max="11" width="13.81640625" style="59" bestFit="1" customWidth="1"/>
    <col min="12" max="12" width="19.90625" style="78" bestFit="1" customWidth="1"/>
    <col min="13" max="13" width="22.1796875" style="1" customWidth="1"/>
    <col min="14" max="14" width="17.453125" style="1" customWidth="1"/>
    <col min="15" max="15" width="21.08984375" style="1" customWidth="1"/>
    <col min="16" max="16" width="18.7265625" style="1" bestFit="1" customWidth="1"/>
    <col min="17" max="16384" width="10.81640625" style="1"/>
  </cols>
  <sheetData>
    <row r="1" spans="1:16" ht="49.5" customHeight="1" x14ac:dyDescent="0.3">
      <c r="A1" s="70" t="s">
        <v>102</v>
      </c>
      <c r="B1" s="70" t="s">
        <v>103</v>
      </c>
      <c r="C1" s="70" t="s">
        <v>104</v>
      </c>
      <c r="D1" s="70" t="s">
        <v>105</v>
      </c>
      <c r="E1" s="70" t="s">
        <v>106</v>
      </c>
      <c r="F1" s="70" t="s">
        <v>107</v>
      </c>
      <c r="G1" s="71" t="s">
        <v>108</v>
      </c>
      <c r="H1" s="71" t="s">
        <v>270</v>
      </c>
      <c r="I1" s="71" t="s">
        <v>269</v>
      </c>
      <c r="J1" s="103" t="s">
        <v>109</v>
      </c>
      <c r="K1" s="103" t="s">
        <v>110</v>
      </c>
      <c r="L1" s="104" t="s">
        <v>111</v>
      </c>
      <c r="M1" s="70" t="s">
        <v>112</v>
      </c>
      <c r="N1" s="70" t="s">
        <v>113</v>
      </c>
      <c r="O1" s="70" t="s">
        <v>114</v>
      </c>
      <c r="P1" s="104" t="s">
        <v>115</v>
      </c>
    </row>
    <row r="2" spans="1:16" ht="72" x14ac:dyDescent="0.3">
      <c r="A2" s="93" t="s">
        <v>71</v>
      </c>
      <c r="B2" s="94" t="s">
        <v>90</v>
      </c>
      <c r="C2" s="2" t="s">
        <v>116</v>
      </c>
      <c r="D2" s="2" t="s">
        <v>117</v>
      </c>
      <c r="E2" s="2" t="s">
        <v>118</v>
      </c>
      <c r="F2" s="2">
        <v>50023</v>
      </c>
      <c r="G2" s="58">
        <v>10</v>
      </c>
      <c r="H2" s="58">
        <v>48</v>
      </c>
      <c r="I2" s="58">
        <f t="shared" ref="I2:I8" si="0">G2*H2</f>
        <v>480</v>
      </c>
      <c r="J2" s="79">
        <v>150000000</v>
      </c>
      <c r="K2" s="79">
        <v>0</v>
      </c>
      <c r="L2" s="79">
        <v>23124168.953309704</v>
      </c>
      <c r="M2" s="93" t="s">
        <v>119</v>
      </c>
      <c r="N2" s="93" t="s">
        <v>120</v>
      </c>
      <c r="O2" s="93" t="s">
        <v>119</v>
      </c>
      <c r="P2" s="111">
        <f>SUM(J2:O2)</f>
        <v>173124168.95330971</v>
      </c>
    </row>
    <row r="3" spans="1:16" ht="96" x14ac:dyDescent="0.3">
      <c r="A3" s="93" t="s">
        <v>71</v>
      </c>
      <c r="B3" s="94" t="s">
        <v>90</v>
      </c>
      <c r="C3" s="2" t="s">
        <v>121</v>
      </c>
      <c r="D3" s="2" t="s">
        <v>122</v>
      </c>
      <c r="E3" s="2" t="s">
        <v>118</v>
      </c>
      <c r="F3" s="2">
        <v>50023</v>
      </c>
      <c r="G3" s="58">
        <v>25</v>
      </c>
      <c r="H3" s="58">
        <v>25</v>
      </c>
      <c r="I3" s="58">
        <f t="shared" si="0"/>
        <v>625</v>
      </c>
      <c r="J3" s="79">
        <v>66000000</v>
      </c>
      <c r="K3" s="79">
        <v>0</v>
      </c>
      <c r="L3" s="79">
        <v>10174634.33945627</v>
      </c>
      <c r="M3" s="93" t="s">
        <v>119</v>
      </c>
      <c r="N3" s="93" t="s">
        <v>120</v>
      </c>
      <c r="O3" s="93" t="s">
        <v>119</v>
      </c>
      <c r="P3" s="111">
        <f t="shared" ref="P3:P38" si="1">SUM(J3:O3)</f>
        <v>76174634.339456275</v>
      </c>
    </row>
    <row r="4" spans="1:16" ht="96" x14ac:dyDescent="0.3">
      <c r="A4" s="93" t="s">
        <v>68</v>
      </c>
      <c r="B4" s="94" t="s">
        <v>90</v>
      </c>
      <c r="C4" s="2" t="s">
        <v>123</v>
      </c>
      <c r="D4" s="2" t="s">
        <v>124</v>
      </c>
      <c r="E4" s="2" t="s">
        <v>118</v>
      </c>
      <c r="F4" s="2">
        <v>50023</v>
      </c>
      <c r="G4" s="58">
        <v>45</v>
      </c>
      <c r="H4" s="58">
        <v>48</v>
      </c>
      <c r="I4" s="58">
        <f t="shared" si="0"/>
        <v>2160</v>
      </c>
      <c r="J4" s="79">
        <v>10500000</v>
      </c>
      <c r="K4" s="79">
        <v>0</v>
      </c>
      <c r="L4" s="105">
        <f>8247620.26001379-6000000</f>
        <v>2247620.2600137899</v>
      </c>
      <c r="M4" s="93" t="s">
        <v>119</v>
      </c>
      <c r="N4" s="93" t="s">
        <v>120</v>
      </c>
      <c r="O4" s="93" t="s">
        <v>119</v>
      </c>
      <c r="P4" s="111">
        <f t="shared" si="1"/>
        <v>12747620.260013789</v>
      </c>
    </row>
    <row r="5" spans="1:16" ht="48" x14ac:dyDescent="0.3">
      <c r="A5" s="93" t="s">
        <v>68</v>
      </c>
      <c r="B5" s="2" t="s">
        <v>93</v>
      </c>
      <c r="C5" s="2" t="s">
        <v>125</v>
      </c>
      <c r="D5" s="2" t="s">
        <v>126</v>
      </c>
      <c r="E5" s="2" t="s">
        <v>118</v>
      </c>
      <c r="F5" s="2">
        <v>50023</v>
      </c>
      <c r="G5" s="58">
        <v>100</v>
      </c>
      <c r="H5" s="58">
        <v>60</v>
      </c>
      <c r="I5" s="58">
        <f t="shared" si="0"/>
        <v>6000</v>
      </c>
      <c r="J5" s="79">
        <v>1437440000</v>
      </c>
      <c r="K5" s="79">
        <v>0</v>
      </c>
      <c r="L5" s="105">
        <v>0</v>
      </c>
      <c r="M5" s="93" t="s">
        <v>119</v>
      </c>
      <c r="N5" s="93" t="s">
        <v>120</v>
      </c>
      <c r="O5" s="93" t="s">
        <v>119</v>
      </c>
      <c r="P5" s="111">
        <f t="shared" si="1"/>
        <v>1437440000</v>
      </c>
    </row>
    <row r="6" spans="1:16" ht="72" x14ac:dyDescent="0.3">
      <c r="A6" s="93" t="s">
        <v>68</v>
      </c>
      <c r="B6" s="2" t="s">
        <v>93</v>
      </c>
      <c r="C6" s="2" t="s">
        <v>127</v>
      </c>
      <c r="D6" s="2" t="s">
        <v>128</v>
      </c>
      <c r="E6" s="2" t="s">
        <v>118</v>
      </c>
      <c r="F6" s="2">
        <v>50023</v>
      </c>
      <c r="G6" s="58">
        <f>150+25</f>
        <v>175</v>
      </c>
      <c r="H6" s="58">
        <v>30</v>
      </c>
      <c r="I6" s="58">
        <f t="shared" si="0"/>
        <v>5250</v>
      </c>
      <c r="J6" s="79">
        <f>400000000+43000000</f>
        <v>443000000</v>
      </c>
      <c r="K6" s="79">
        <v>0</v>
      </c>
      <c r="L6" s="105">
        <f>282907594.59074+30+6000000</f>
        <v>288907624.59074003</v>
      </c>
      <c r="M6" s="93" t="s">
        <v>119</v>
      </c>
      <c r="N6" s="93" t="s">
        <v>120</v>
      </c>
      <c r="O6" s="93" t="s">
        <v>119</v>
      </c>
      <c r="P6" s="111">
        <f t="shared" si="1"/>
        <v>731907624.59073997</v>
      </c>
    </row>
    <row r="7" spans="1:16" ht="48" x14ac:dyDescent="0.3">
      <c r="A7" s="93" t="s">
        <v>69</v>
      </c>
      <c r="B7" s="94" t="s">
        <v>95</v>
      </c>
      <c r="C7" s="2" t="s">
        <v>129</v>
      </c>
      <c r="D7" s="2" t="s">
        <v>130</v>
      </c>
      <c r="E7" s="2" t="s">
        <v>118</v>
      </c>
      <c r="F7" s="2">
        <v>50023</v>
      </c>
      <c r="G7" s="58">
        <v>200</v>
      </c>
      <c r="H7" s="58">
        <v>30</v>
      </c>
      <c r="I7" s="58">
        <f t="shared" si="0"/>
        <v>6000</v>
      </c>
      <c r="J7" s="79">
        <v>110000000</v>
      </c>
      <c r="K7" s="79">
        <v>0</v>
      </c>
      <c r="L7" s="79">
        <v>16957723.899093784</v>
      </c>
      <c r="M7" s="93" t="s">
        <v>119</v>
      </c>
      <c r="N7" s="93" t="s">
        <v>120</v>
      </c>
      <c r="O7" s="93" t="s">
        <v>119</v>
      </c>
      <c r="P7" s="111">
        <f t="shared" si="1"/>
        <v>126957723.89909378</v>
      </c>
    </row>
    <row r="8" spans="1:16" ht="72" x14ac:dyDescent="0.3">
      <c r="A8" s="93" t="s">
        <v>68</v>
      </c>
      <c r="B8" s="94" t="s">
        <v>89</v>
      </c>
      <c r="C8" s="2" t="s">
        <v>131</v>
      </c>
      <c r="D8" s="2" t="s">
        <v>132</v>
      </c>
      <c r="E8" s="2" t="s">
        <v>118</v>
      </c>
      <c r="F8" s="2">
        <v>50023</v>
      </c>
      <c r="G8" s="58">
        <v>30</v>
      </c>
      <c r="H8" s="58">
        <v>24</v>
      </c>
      <c r="I8" s="58">
        <f t="shared" si="0"/>
        <v>720</v>
      </c>
      <c r="J8" s="79">
        <v>35500000</v>
      </c>
      <c r="K8" s="79">
        <v>0</v>
      </c>
      <c r="L8" s="105">
        <v>5472719.9856166299</v>
      </c>
      <c r="M8" s="93" t="s">
        <v>119</v>
      </c>
      <c r="N8" s="93" t="s">
        <v>120</v>
      </c>
      <c r="O8" s="93" t="s">
        <v>119</v>
      </c>
      <c r="P8" s="111">
        <f t="shared" si="1"/>
        <v>40972719.985616632</v>
      </c>
    </row>
    <row r="9" spans="1:16" ht="96" x14ac:dyDescent="0.3">
      <c r="A9" s="93" t="s">
        <v>68</v>
      </c>
      <c r="B9" s="94" t="s">
        <v>89</v>
      </c>
      <c r="C9" s="2" t="s">
        <v>133</v>
      </c>
      <c r="D9" s="2" t="s">
        <v>134</v>
      </c>
      <c r="E9" s="2" t="s">
        <v>118</v>
      </c>
      <c r="F9" s="2">
        <v>50023</v>
      </c>
      <c r="G9" s="58">
        <f>40+1320</f>
        <v>1360</v>
      </c>
      <c r="H9" s="58">
        <f>I9/G9</f>
        <v>4.5882352941176467</v>
      </c>
      <c r="I9" s="58">
        <v>6240</v>
      </c>
      <c r="J9" s="79">
        <v>544100000</v>
      </c>
      <c r="K9" s="79">
        <f>87800000+57778871</f>
        <v>145578871</v>
      </c>
      <c r="L9" s="105">
        <f>83879068.8499721</f>
        <v>83879068.849972099</v>
      </c>
      <c r="M9" s="93" t="s">
        <v>119</v>
      </c>
      <c r="N9" s="93" t="s">
        <v>120</v>
      </c>
      <c r="O9" s="93" t="s">
        <v>119</v>
      </c>
      <c r="P9" s="111">
        <f t="shared" si="1"/>
        <v>773557939.84997213</v>
      </c>
    </row>
    <row r="10" spans="1:16" ht="48" x14ac:dyDescent="0.3">
      <c r="A10" s="93" t="s">
        <v>68</v>
      </c>
      <c r="B10" s="94" t="s">
        <v>89</v>
      </c>
      <c r="C10" s="2" t="s">
        <v>135</v>
      </c>
      <c r="D10" s="2" t="s">
        <v>136</v>
      </c>
      <c r="E10" s="2" t="s">
        <v>118</v>
      </c>
      <c r="F10" s="2">
        <v>50023</v>
      </c>
      <c r="G10" s="58">
        <v>100</v>
      </c>
      <c r="H10" s="58">
        <v>8</v>
      </c>
      <c r="I10" s="58">
        <f>G10*H10</f>
        <v>800</v>
      </c>
      <c r="J10" s="79">
        <v>56000000</v>
      </c>
      <c r="K10" s="79">
        <v>0</v>
      </c>
      <c r="L10" s="105">
        <v>8633023.0759022906</v>
      </c>
      <c r="M10" s="93" t="s">
        <v>119</v>
      </c>
      <c r="N10" s="93" t="s">
        <v>120</v>
      </c>
      <c r="O10" s="93" t="s">
        <v>119</v>
      </c>
      <c r="P10" s="111">
        <f t="shared" si="1"/>
        <v>64633023.075902291</v>
      </c>
    </row>
    <row r="11" spans="1:16" ht="82" customHeight="1" x14ac:dyDescent="0.3">
      <c r="A11" s="93" t="s">
        <v>71</v>
      </c>
      <c r="B11" s="94" t="s">
        <v>90</v>
      </c>
      <c r="C11" s="2" t="s">
        <v>137</v>
      </c>
      <c r="D11" s="2" t="s">
        <v>138</v>
      </c>
      <c r="E11" s="2" t="s">
        <v>118</v>
      </c>
      <c r="F11" s="2">
        <v>50023</v>
      </c>
      <c r="G11" s="58">
        <v>20</v>
      </c>
      <c r="H11" s="58">
        <v>60</v>
      </c>
      <c r="I11" s="58">
        <f>G11*H11</f>
        <v>1200</v>
      </c>
      <c r="J11" s="79">
        <v>38000000</v>
      </c>
      <c r="K11" s="79">
        <v>0</v>
      </c>
      <c r="L11" s="79">
        <v>5858122.8015051251</v>
      </c>
      <c r="M11" s="93" t="s">
        <v>119</v>
      </c>
      <c r="N11" s="93" t="s">
        <v>120</v>
      </c>
      <c r="O11" s="93" t="s">
        <v>119</v>
      </c>
      <c r="P11" s="111">
        <f t="shared" si="1"/>
        <v>43858122.801505126</v>
      </c>
    </row>
    <row r="12" spans="1:16" ht="77.150000000000006" customHeight="1" x14ac:dyDescent="0.3">
      <c r="A12" s="93" t="s">
        <v>71</v>
      </c>
      <c r="B12" s="94" t="s">
        <v>87</v>
      </c>
      <c r="C12" s="2" t="s">
        <v>139</v>
      </c>
      <c r="D12" s="2" t="s">
        <v>140</v>
      </c>
      <c r="E12" s="2" t="s">
        <v>118</v>
      </c>
      <c r="F12" s="2">
        <v>50023</v>
      </c>
      <c r="G12" s="58">
        <v>500</v>
      </c>
      <c r="H12" s="58">
        <v>4</v>
      </c>
      <c r="I12" s="58">
        <f>G12*H12</f>
        <v>2000</v>
      </c>
      <c r="J12" s="79">
        <v>15000000</v>
      </c>
      <c r="K12" s="79">
        <v>0</v>
      </c>
      <c r="L12" s="79">
        <v>2312416.8953309706</v>
      </c>
      <c r="M12" s="93" t="s">
        <v>119</v>
      </c>
      <c r="N12" s="93" t="s">
        <v>120</v>
      </c>
      <c r="O12" s="93" t="s">
        <v>119</v>
      </c>
      <c r="P12" s="111">
        <f t="shared" si="1"/>
        <v>17312416.895330969</v>
      </c>
    </row>
    <row r="13" spans="1:16" ht="75.650000000000006" customHeight="1" x14ac:dyDescent="0.3">
      <c r="A13" s="93" t="s">
        <v>68</v>
      </c>
      <c r="B13" s="94" t="s">
        <v>86</v>
      </c>
      <c r="C13" s="2" t="s">
        <v>141</v>
      </c>
      <c r="D13" s="2" t="s">
        <v>142</v>
      </c>
      <c r="E13" s="2" t="s">
        <v>118</v>
      </c>
      <c r="F13" s="2">
        <v>50023</v>
      </c>
      <c r="G13" s="58">
        <v>1200</v>
      </c>
      <c r="H13" s="58">
        <v>25</v>
      </c>
      <c r="I13" s="58">
        <f>G13*H13</f>
        <v>30000</v>
      </c>
      <c r="J13" s="79">
        <f>1293463640+960000-400000000</f>
        <v>894423640</v>
      </c>
      <c r="K13" s="79">
        <v>0</v>
      </c>
      <c r="L13" s="105">
        <v>137777067.82195103</v>
      </c>
      <c r="M13" s="93" t="s">
        <v>119</v>
      </c>
      <c r="N13" s="93" t="s">
        <v>120</v>
      </c>
      <c r="O13" s="93" t="s">
        <v>119</v>
      </c>
      <c r="P13" s="111">
        <f t="shared" si="1"/>
        <v>1032200707.821951</v>
      </c>
    </row>
    <row r="14" spans="1:16" ht="48" x14ac:dyDescent="0.3">
      <c r="A14" s="93" t="s">
        <v>69</v>
      </c>
      <c r="B14" s="94" t="s">
        <v>90</v>
      </c>
      <c r="C14" s="2" t="s">
        <v>143</v>
      </c>
      <c r="D14" s="2" t="s">
        <v>264</v>
      </c>
      <c r="E14" s="2" t="s">
        <v>118</v>
      </c>
      <c r="F14" s="2">
        <v>50023</v>
      </c>
      <c r="G14" s="58">
        <v>550</v>
      </c>
      <c r="H14" s="58">
        <v>4</v>
      </c>
      <c r="I14" s="58">
        <f>G14*H14</f>
        <v>2200</v>
      </c>
      <c r="J14" s="79">
        <v>20000000</v>
      </c>
      <c r="K14" s="79">
        <v>0</v>
      </c>
      <c r="L14" s="79">
        <v>3083222.5271079605</v>
      </c>
      <c r="M14" s="93" t="s">
        <v>119</v>
      </c>
      <c r="N14" s="93" t="s">
        <v>120</v>
      </c>
      <c r="O14" s="93" t="s">
        <v>119</v>
      </c>
      <c r="P14" s="111">
        <f t="shared" si="1"/>
        <v>23083222.527107961</v>
      </c>
    </row>
    <row r="15" spans="1:16" ht="60" x14ac:dyDescent="0.3">
      <c r="A15" s="93" t="s">
        <v>68</v>
      </c>
      <c r="B15" s="94" t="s">
        <v>96</v>
      </c>
      <c r="C15" s="2" t="s">
        <v>144</v>
      </c>
      <c r="D15" s="2" t="s">
        <v>145</v>
      </c>
      <c r="E15" s="2" t="s">
        <v>146</v>
      </c>
      <c r="F15" s="2">
        <v>50023</v>
      </c>
      <c r="G15" s="58">
        <v>300</v>
      </c>
      <c r="H15" s="58">
        <f>I15/G15</f>
        <v>5.34</v>
      </c>
      <c r="I15" s="58">
        <v>1602</v>
      </c>
      <c r="J15" s="79">
        <v>150000000</v>
      </c>
      <c r="K15" s="79">
        <v>0</v>
      </c>
      <c r="L15" s="105">
        <f>+(J15/(J15+J23))*70022852</f>
        <v>14803881.297524331</v>
      </c>
      <c r="M15" s="93" t="s">
        <v>119</v>
      </c>
      <c r="N15" s="93" t="s">
        <v>120</v>
      </c>
      <c r="O15" s="93" t="s">
        <v>120</v>
      </c>
      <c r="P15" s="111">
        <f t="shared" si="1"/>
        <v>164803881.29752433</v>
      </c>
    </row>
    <row r="16" spans="1:16" ht="48" x14ac:dyDescent="0.3">
      <c r="A16" s="93" t="s">
        <v>68</v>
      </c>
      <c r="B16" s="94" t="s">
        <v>96</v>
      </c>
      <c r="C16" s="2" t="s">
        <v>254</v>
      </c>
      <c r="D16" s="2" t="s">
        <v>255</v>
      </c>
      <c r="E16" s="2" t="s">
        <v>146</v>
      </c>
      <c r="F16" s="2">
        <v>50023</v>
      </c>
      <c r="G16" s="58">
        <v>12</v>
      </c>
      <c r="H16" s="58">
        <v>23</v>
      </c>
      <c r="I16" s="58">
        <f>G16*H16</f>
        <v>276</v>
      </c>
      <c r="J16" s="79">
        <f>30000000</f>
        <v>30000000</v>
      </c>
      <c r="K16" s="79">
        <v>0</v>
      </c>
      <c r="L16" s="105">
        <f>+((J16/(J16+J17+J18))*81677880)+249110640</f>
        <v>265489894.01069519</v>
      </c>
      <c r="M16" s="93" t="s">
        <v>119</v>
      </c>
      <c r="N16" s="93" t="s">
        <v>120</v>
      </c>
      <c r="O16" s="93" t="s">
        <v>120</v>
      </c>
      <c r="P16" s="111">
        <f t="shared" si="1"/>
        <v>295489894.01069522</v>
      </c>
    </row>
    <row r="17" spans="1:16" ht="60" x14ac:dyDescent="0.3">
      <c r="A17" s="93" t="s">
        <v>68</v>
      </c>
      <c r="B17" s="94" t="s">
        <v>96</v>
      </c>
      <c r="C17" s="2" t="s">
        <v>256</v>
      </c>
      <c r="D17" s="2" t="s">
        <v>257</v>
      </c>
      <c r="E17" s="2" t="s">
        <v>146</v>
      </c>
      <c r="F17" s="2">
        <v>50023</v>
      </c>
      <c r="G17" s="58">
        <v>11</v>
      </c>
      <c r="H17" s="58">
        <v>23</v>
      </c>
      <c r="I17" s="58">
        <f>G17*H17</f>
        <v>253</v>
      </c>
      <c r="J17" s="79">
        <v>70000000</v>
      </c>
      <c r="K17" s="79">
        <v>0</v>
      </c>
      <c r="L17" s="105">
        <f>+((J17/(J16+J17+J18))*81677880)+156551043</f>
        <v>194769302.35828876</v>
      </c>
      <c r="M17" s="93" t="s">
        <v>119</v>
      </c>
      <c r="N17" s="93" t="s">
        <v>120</v>
      </c>
      <c r="O17" s="93" t="s">
        <v>120</v>
      </c>
      <c r="P17" s="111">
        <f t="shared" si="1"/>
        <v>264769302.35828876</v>
      </c>
    </row>
    <row r="18" spans="1:16" ht="80.150000000000006" customHeight="1" x14ac:dyDescent="0.3">
      <c r="A18" s="93" t="s">
        <v>68</v>
      </c>
      <c r="B18" s="94" t="s">
        <v>96</v>
      </c>
      <c r="C18" s="2" t="s">
        <v>149</v>
      </c>
      <c r="D18" s="2" t="s">
        <v>258</v>
      </c>
      <c r="E18" s="2" t="s">
        <v>146</v>
      </c>
      <c r="F18" s="2">
        <v>50023</v>
      </c>
      <c r="G18" s="58">
        <v>15</v>
      </c>
      <c r="H18" s="58">
        <v>90</v>
      </c>
      <c r="I18" s="58">
        <f>G18*H18</f>
        <v>1350</v>
      </c>
      <c r="J18" s="79">
        <v>49600000</v>
      </c>
      <c r="K18" s="79">
        <v>0</v>
      </c>
      <c r="L18" s="105">
        <f>+(J18/(J16+J17+J18))*81677880</f>
        <v>27080366.631016042</v>
      </c>
      <c r="M18" s="93" t="s">
        <v>119</v>
      </c>
      <c r="N18" s="93" t="s">
        <v>120</v>
      </c>
      <c r="O18" s="93" t="s">
        <v>120</v>
      </c>
      <c r="P18" s="111">
        <f t="shared" si="1"/>
        <v>76680366.631016046</v>
      </c>
    </row>
    <row r="19" spans="1:16" ht="85.5" customHeight="1" x14ac:dyDescent="0.3">
      <c r="A19" s="93" t="s">
        <v>71</v>
      </c>
      <c r="B19" s="94" t="s">
        <v>88</v>
      </c>
      <c r="C19" s="2" t="s">
        <v>150</v>
      </c>
      <c r="D19" s="2" t="s">
        <v>151</v>
      </c>
      <c r="E19" s="2" t="s">
        <v>152</v>
      </c>
      <c r="F19" s="2">
        <v>60023</v>
      </c>
      <c r="G19" s="58">
        <v>1500</v>
      </c>
      <c r="H19" s="58">
        <v>16</v>
      </c>
      <c r="I19" s="58">
        <f>+G19*H19</f>
        <v>24000</v>
      </c>
      <c r="J19" s="58">
        <v>900000000</v>
      </c>
      <c r="K19" s="58">
        <f>(100000000*0)+50000000</f>
        <v>50000000</v>
      </c>
      <c r="L19" s="79"/>
      <c r="M19" s="93" t="s">
        <v>119</v>
      </c>
      <c r="N19" s="93" t="s">
        <v>120</v>
      </c>
      <c r="O19" s="93" t="s">
        <v>120</v>
      </c>
      <c r="P19" s="111">
        <f t="shared" si="1"/>
        <v>950000000</v>
      </c>
    </row>
    <row r="20" spans="1:16" ht="36" x14ac:dyDescent="0.3">
      <c r="A20" s="93" t="s">
        <v>69</v>
      </c>
      <c r="B20" s="94" t="s">
        <v>96</v>
      </c>
      <c r="C20" s="2" t="s">
        <v>153</v>
      </c>
      <c r="D20" s="2" t="s">
        <v>154</v>
      </c>
      <c r="E20" s="2" t="s">
        <v>152</v>
      </c>
      <c r="F20" s="2">
        <v>60023</v>
      </c>
      <c r="G20" s="58"/>
      <c r="H20" s="58">
        <v>0</v>
      </c>
      <c r="I20" s="58"/>
      <c r="J20" s="58">
        <v>83900000</v>
      </c>
      <c r="K20" s="58">
        <v>0</v>
      </c>
      <c r="L20" s="79"/>
      <c r="M20" s="93" t="s">
        <v>119</v>
      </c>
      <c r="N20" s="93" t="s">
        <v>120</v>
      </c>
      <c r="O20" s="93" t="s">
        <v>120</v>
      </c>
      <c r="P20" s="111">
        <f t="shared" si="1"/>
        <v>83900000</v>
      </c>
    </row>
    <row r="21" spans="1:16" ht="96" x14ac:dyDescent="0.3">
      <c r="A21" s="93" t="s">
        <v>68</v>
      </c>
      <c r="B21" s="109" t="s">
        <v>87</v>
      </c>
      <c r="C21" s="2" t="s">
        <v>155</v>
      </c>
      <c r="D21" s="2" t="s">
        <v>259</v>
      </c>
      <c r="E21" s="2" t="s">
        <v>152</v>
      </c>
      <c r="F21" s="2">
        <v>60023</v>
      </c>
      <c r="G21" s="58">
        <v>0</v>
      </c>
      <c r="H21" s="58"/>
      <c r="I21" s="58"/>
      <c r="J21" s="58">
        <v>156000000</v>
      </c>
      <c r="K21" s="58">
        <v>0</v>
      </c>
      <c r="L21" s="105"/>
      <c r="M21" s="93" t="s">
        <v>119</v>
      </c>
      <c r="N21" s="93" t="s">
        <v>120</v>
      </c>
      <c r="O21" s="93" t="s">
        <v>120</v>
      </c>
      <c r="P21" s="111">
        <f t="shared" si="1"/>
        <v>156000000</v>
      </c>
    </row>
    <row r="22" spans="1:16" ht="72" x14ac:dyDescent="0.3">
      <c r="A22" s="93" t="s">
        <v>71</v>
      </c>
      <c r="B22" s="94" t="s">
        <v>99</v>
      </c>
      <c r="C22" s="2" t="s">
        <v>157</v>
      </c>
      <c r="D22" s="2" t="s">
        <v>158</v>
      </c>
      <c r="E22" s="2" t="s">
        <v>159</v>
      </c>
      <c r="F22" s="2">
        <v>20023</v>
      </c>
      <c r="G22" s="58"/>
      <c r="H22" s="58">
        <v>0</v>
      </c>
      <c r="I22" s="58"/>
      <c r="J22" s="79">
        <f>424657000*1</f>
        <v>424657000</v>
      </c>
      <c r="K22" s="79">
        <v>0</v>
      </c>
      <c r="L22" s="79">
        <v>0</v>
      </c>
      <c r="M22" s="93" t="s">
        <v>119</v>
      </c>
      <c r="N22" s="93" t="s">
        <v>120</v>
      </c>
      <c r="O22" s="93" t="s">
        <v>119</v>
      </c>
      <c r="P22" s="111">
        <f t="shared" si="1"/>
        <v>424657000</v>
      </c>
    </row>
    <row r="23" spans="1:16" ht="116.25" customHeight="1" x14ac:dyDescent="0.3">
      <c r="A23" s="93" t="s">
        <v>160</v>
      </c>
      <c r="B23" s="94" t="s">
        <v>96</v>
      </c>
      <c r="C23" s="2" t="s">
        <v>161</v>
      </c>
      <c r="D23" s="2" t="s">
        <v>261</v>
      </c>
      <c r="E23" s="2" t="s">
        <v>146</v>
      </c>
      <c r="F23" s="2">
        <v>50023</v>
      </c>
      <c r="G23" s="58">
        <v>700</v>
      </c>
      <c r="H23" s="58">
        <v>18</v>
      </c>
      <c r="I23" s="58">
        <f t="shared" ref="I23:I28" si="2">G23*H23</f>
        <v>12600</v>
      </c>
      <c r="J23" s="79">
        <f>((869325000+120705000)*0)+641505000-82000000</f>
        <v>559505000</v>
      </c>
      <c r="K23" s="79">
        <v>0</v>
      </c>
      <c r="L23" s="79">
        <f>+((J23/(J15+J23))*70022852)+134000056</f>
        <v>189219026.70247567</v>
      </c>
      <c r="M23" s="93" t="s">
        <v>119</v>
      </c>
      <c r="N23" s="93" t="s">
        <v>120</v>
      </c>
      <c r="O23" s="93" t="s">
        <v>120</v>
      </c>
      <c r="P23" s="111">
        <f t="shared" si="1"/>
        <v>748724026.70247567</v>
      </c>
    </row>
    <row r="24" spans="1:16" ht="88.5" customHeight="1" x14ac:dyDescent="0.3">
      <c r="A24" s="93" t="s">
        <v>70</v>
      </c>
      <c r="B24" s="94" t="s">
        <v>97</v>
      </c>
      <c r="C24" s="2" t="s">
        <v>265</v>
      </c>
      <c r="D24" s="2" t="s">
        <v>266</v>
      </c>
      <c r="E24" s="2" t="s">
        <v>163</v>
      </c>
      <c r="F24" s="2">
        <v>50023</v>
      </c>
      <c r="G24" s="58">
        <v>500</v>
      </c>
      <c r="H24" s="58">
        <v>24</v>
      </c>
      <c r="I24" s="58">
        <f t="shared" si="2"/>
        <v>12000</v>
      </c>
      <c r="J24" s="79">
        <f>+(7680000*0)+82800000</f>
        <v>82800000</v>
      </c>
      <c r="K24" s="79">
        <v>0</v>
      </c>
      <c r="L24" s="79">
        <f>+(J24/(J24+J25+J26))*81677880</f>
        <v>15845661.818181818</v>
      </c>
      <c r="M24" s="93" t="s">
        <v>119</v>
      </c>
      <c r="N24" s="93" t="s">
        <v>120</v>
      </c>
      <c r="O24" s="93" t="s">
        <v>120</v>
      </c>
      <c r="P24" s="111">
        <f t="shared" si="1"/>
        <v>98645661.818181813</v>
      </c>
    </row>
    <row r="25" spans="1:16" ht="84" x14ac:dyDescent="0.3">
      <c r="A25" s="93" t="s">
        <v>70</v>
      </c>
      <c r="B25" s="2" t="s">
        <v>97</v>
      </c>
      <c r="C25" s="2" t="s">
        <v>164</v>
      </c>
      <c r="D25" s="2" t="s">
        <v>165</v>
      </c>
      <c r="E25" s="2" t="s">
        <v>163</v>
      </c>
      <c r="F25" s="2">
        <v>50023</v>
      </c>
      <c r="G25" s="58">
        <v>350</v>
      </c>
      <c r="H25" s="58">
        <v>15</v>
      </c>
      <c r="I25" s="58">
        <f t="shared" si="2"/>
        <v>5250</v>
      </c>
      <c r="J25" s="79">
        <v>119000000</v>
      </c>
      <c r="K25" s="79">
        <v>0</v>
      </c>
      <c r="L25" s="79">
        <f>+(J25/(J24+J25+J26))*81677880</f>
        <v>22773354.545454547</v>
      </c>
      <c r="M25" s="93" t="s">
        <v>119</v>
      </c>
      <c r="N25" s="93" t="s">
        <v>120</v>
      </c>
      <c r="O25" s="93" t="s">
        <v>120</v>
      </c>
      <c r="P25" s="111">
        <f t="shared" si="1"/>
        <v>141773354.54545456</v>
      </c>
    </row>
    <row r="26" spans="1:16" ht="84" x14ac:dyDescent="0.3">
      <c r="A26" s="93" t="s">
        <v>70</v>
      </c>
      <c r="B26" s="2" t="s">
        <v>97</v>
      </c>
      <c r="C26" s="2" t="s">
        <v>166</v>
      </c>
      <c r="D26" s="2" t="s">
        <v>167</v>
      </c>
      <c r="E26" s="2" t="s">
        <v>163</v>
      </c>
      <c r="F26" s="2">
        <v>50023</v>
      </c>
      <c r="G26" s="58">
        <v>150</v>
      </c>
      <c r="H26" s="58">
        <v>15</v>
      </c>
      <c r="I26" s="58">
        <f>(G26*H26)+1500</f>
        <v>3750</v>
      </c>
      <c r="J26" s="79">
        <f>((84000000+57000000)*0)+225000000</f>
        <v>225000000</v>
      </c>
      <c r="K26" s="79">
        <v>0</v>
      </c>
      <c r="L26" s="79">
        <f>+(J26/(J24+J25+J26))*81677880</f>
        <v>43058863.63636364</v>
      </c>
      <c r="M26" s="93" t="s">
        <v>119</v>
      </c>
      <c r="N26" s="93" t="s">
        <v>120</v>
      </c>
      <c r="O26" s="93" t="s">
        <v>120</v>
      </c>
      <c r="P26" s="111">
        <f t="shared" si="1"/>
        <v>268058863.63636363</v>
      </c>
    </row>
    <row r="27" spans="1:16" ht="97" customHeight="1" x14ac:dyDescent="0.3">
      <c r="A27" s="93" t="s">
        <v>168</v>
      </c>
      <c r="B27" s="94" t="s">
        <v>92</v>
      </c>
      <c r="C27" s="2" t="s">
        <v>262</v>
      </c>
      <c r="D27" s="2" t="s">
        <v>169</v>
      </c>
      <c r="E27" s="2" t="s">
        <v>146</v>
      </c>
      <c r="F27" s="2">
        <v>50023</v>
      </c>
      <c r="G27" s="58">
        <v>10</v>
      </c>
      <c r="H27" s="58">
        <v>12</v>
      </c>
      <c r="I27" s="58">
        <f t="shared" si="2"/>
        <v>120</v>
      </c>
      <c r="J27" s="79">
        <v>61000000</v>
      </c>
      <c r="K27" s="79">
        <v>0</v>
      </c>
      <c r="L27" s="79">
        <f>+(J27/(J27+J28))*(95053130+249110640)</f>
        <v>131212437.31249999</v>
      </c>
      <c r="M27" s="93" t="s">
        <v>119</v>
      </c>
      <c r="N27" s="93" t="s">
        <v>120</v>
      </c>
      <c r="O27" s="93" t="s">
        <v>120</v>
      </c>
      <c r="P27" s="111">
        <f t="shared" si="1"/>
        <v>192212437.3125</v>
      </c>
    </row>
    <row r="28" spans="1:16" ht="96.65" customHeight="1" x14ac:dyDescent="0.3">
      <c r="A28" s="93" t="s">
        <v>168</v>
      </c>
      <c r="B28" s="94" t="s">
        <v>92</v>
      </c>
      <c r="C28" s="2" t="s">
        <v>170</v>
      </c>
      <c r="D28" s="2" t="s">
        <v>263</v>
      </c>
      <c r="E28" s="2" t="s">
        <v>146</v>
      </c>
      <c r="F28" s="2">
        <v>50023</v>
      </c>
      <c r="G28" s="58">
        <f>1200+100</f>
        <v>1300</v>
      </c>
      <c r="H28" s="58">
        <v>2</v>
      </c>
      <c r="I28" s="58">
        <f t="shared" si="2"/>
        <v>2600</v>
      </c>
      <c r="J28" s="79">
        <f>60000000+39000000</f>
        <v>99000000</v>
      </c>
      <c r="K28" s="79">
        <v>0</v>
      </c>
      <c r="L28" s="79">
        <f>+(J28/(J27+J28))*(95053130+249110640)</f>
        <v>212951332.6875</v>
      </c>
      <c r="M28" s="93" t="s">
        <v>119</v>
      </c>
      <c r="N28" s="93" t="s">
        <v>120</v>
      </c>
      <c r="O28" s="93" t="s">
        <v>120</v>
      </c>
      <c r="P28" s="111">
        <f t="shared" si="1"/>
        <v>311951332.6875</v>
      </c>
    </row>
    <row r="29" spans="1:16" ht="48" x14ac:dyDescent="0.3">
      <c r="A29" s="93" t="s">
        <v>71</v>
      </c>
      <c r="B29" s="94" t="s">
        <v>98</v>
      </c>
      <c r="C29" s="2" t="s">
        <v>171</v>
      </c>
      <c r="D29" s="2" t="s">
        <v>172</v>
      </c>
      <c r="E29" s="94" t="s">
        <v>173</v>
      </c>
      <c r="F29" s="2">
        <v>50023</v>
      </c>
      <c r="G29" s="58"/>
      <c r="H29" s="58"/>
      <c r="I29" s="58"/>
      <c r="J29" s="79">
        <v>64826024</v>
      </c>
      <c r="K29" s="79">
        <v>0</v>
      </c>
      <c r="L29" s="79">
        <v>46260428</v>
      </c>
      <c r="M29" s="93" t="s">
        <v>119</v>
      </c>
      <c r="N29" s="93" t="s">
        <v>120</v>
      </c>
      <c r="O29" s="93" t="s">
        <v>119</v>
      </c>
      <c r="P29" s="111">
        <f t="shared" si="1"/>
        <v>111086452</v>
      </c>
    </row>
    <row r="30" spans="1:16" ht="132" x14ac:dyDescent="0.3">
      <c r="A30" s="93" t="s">
        <v>71</v>
      </c>
      <c r="B30" s="94" t="s">
        <v>98</v>
      </c>
      <c r="C30" s="2" t="s">
        <v>174</v>
      </c>
      <c r="D30" s="2" t="s">
        <v>268</v>
      </c>
      <c r="E30" s="94" t="s">
        <v>173</v>
      </c>
      <c r="F30" s="2">
        <v>50023</v>
      </c>
      <c r="G30" s="58">
        <v>1700</v>
      </c>
      <c r="H30" s="58"/>
      <c r="I30" s="58"/>
      <c r="J30" s="79">
        <v>80754000</v>
      </c>
      <c r="K30" s="79">
        <v>0</v>
      </c>
      <c r="L30" s="79">
        <v>57626773</v>
      </c>
      <c r="M30" s="93" t="s">
        <v>119</v>
      </c>
      <c r="N30" s="93" t="s">
        <v>120</v>
      </c>
      <c r="O30" s="93" t="s">
        <v>119</v>
      </c>
      <c r="P30" s="111">
        <f t="shared" si="1"/>
        <v>138380773</v>
      </c>
    </row>
    <row r="31" spans="1:16" ht="96" x14ac:dyDescent="0.3">
      <c r="A31" s="93" t="s">
        <v>71</v>
      </c>
      <c r="B31" s="94" t="s">
        <v>98</v>
      </c>
      <c r="C31" s="2" t="s">
        <v>175</v>
      </c>
      <c r="D31" s="2" t="s">
        <v>267</v>
      </c>
      <c r="E31" s="94" t="s">
        <v>173</v>
      </c>
      <c r="F31" s="2">
        <v>50023</v>
      </c>
      <c r="G31" s="58">
        <v>0</v>
      </c>
      <c r="H31" s="58"/>
      <c r="I31" s="58"/>
      <c r="J31" s="79">
        <f>51826000-500000</f>
        <v>51326000</v>
      </c>
      <c r="K31" s="79">
        <v>500000</v>
      </c>
      <c r="L31" s="79">
        <v>36983495</v>
      </c>
      <c r="M31" s="93" t="s">
        <v>119</v>
      </c>
      <c r="N31" s="93" t="s">
        <v>120</v>
      </c>
      <c r="O31" s="93" t="s">
        <v>119</v>
      </c>
      <c r="P31" s="111">
        <f t="shared" si="1"/>
        <v>88809495</v>
      </c>
    </row>
    <row r="32" spans="1:16" ht="72" x14ac:dyDescent="0.3">
      <c r="A32" s="93" t="s">
        <v>68</v>
      </c>
      <c r="B32" s="94" t="s">
        <v>94</v>
      </c>
      <c r="C32" s="2" t="s">
        <v>176</v>
      </c>
      <c r="D32" s="2" t="s">
        <v>260</v>
      </c>
      <c r="E32" s="2" t="s">
        <v>146</v>
      </c>
      <c r="F32" s="2">
        <v>50023</v>
      </c>
      <c r="G32" s="58">
        <v>10</v>
      </c>
      <c r="H32" s="58">
        <v>12</v>
      </c>
      <c r="I32" s="58">
        <f>G32*H32</f>
        <v>120</v>
      </c>
      <c r="J32" s="79">
        <v>82000000</v>
      </c>
      <c r="K32" s="79">
        <v>0</v>
      </c>
      <c r="L32" s="105">
        <f>81677880*0</f>
        <v>0</v>
      </c>
      <c r="M32" s="93" t="s">
        <v>119</v>
      </c>
      <c r="N32" s="93" t="s">
        <v>120</v>
      </c>
      <c r="O32" s="93" t="s">
        <v>119</v>
      </c>
      <c r="P32" s="111">
        <f t="shared" si="1"/>
        <v>82000000</v>
      </c>
    </row>
    <row r="33" spans="1:16" ht="36" x14ac:dyDescent="0.3">
      <c r="A33" s="93" t="s">
        <v>71</v>
      </c>
      <c r="B33" s="94" t="s">
        <v>98</v>
      </c>
      <c r="C33" s="2" t="s">
        <v>177</v>
      </c>
      <c r="D33" s="2" t="s">
        <v>178</v>
      </c>
      <c r="E33" s="94" t="s">
        <v>173</v>
      </c>
      <c r="F33" s="2">
        <v>50023</v>
      </c>
      <c r="G33" s="97">
        <v>60</v>
      </c>
      <c r="H33" s="58"/>
      <c r="I33" s="58"/>
      <c r="J33" s="79">
        <v>111000000</v>
      </c>
      <c r="K33" s="79">
        <v>0</v>
      </c>
      <c r="L33" s="79"/>
      <c r="M33" s="93" t="s">
        <v>119</v>
      </c>
      <c r="N33" s="93" t="s">
        <v>120</v>
      </c>
      <c r="O33" s="93" t="s">
        <v>119</v>
      </c>
      <c r="P33" s="111">
        <f t="shared" si="1"/>
        <v>111000000</v>
      </c>
    </row>
    <row r="34" spans="1:16" ht="48" x14ac:dyDescent="0.3">
      <c r="A34" s="93" t="s">
        <v>71</v>
      </c>
      <c r="B34" s="94" t="s">
        <v>98</v>
      </c>
      <c r="C34" s="2" t="s">
        <v>177</v>
      </c>
      <c r="D34" s="2" t="s">
        <v>179</v>
      </c>
      <c r="E34" s="94" t="s">
        <v>173</v>
      </c>
      <c r="F34" s="2">
        <v>50023</v>
      </c>
      <c r="G34" s="58"/>
      <c r="H34" s="58"/>
      <c r="I34" s="58"/>
      <c r="J34" s="79">
        <f>84033000+12000000</f>
        <v>96033000</v>
      </c>
      <c r="K34" s="79">
        <v>0</v>
      </c>
      <c r="L34" s="79"/>
      <c r="M34" s="93" t="s">
        <v>119</v>
      </c>
      <c r="N34" s="93" t="s">
        <v>120</v>
      </c>
      <c r="O34" s="93" t="s">
        <v>119</v>
      </c>
      <c r="P34" s="111">
        <f t="shared" si="1"/>
        <v>96033000</v>
      </c>
    </row>
    <row r="35" spans="1:16" ht="36" x14ac:dyDescent="0.3">
      <c r="A35" s="93" t="s">
        <v>69</v>
      </c>
      <c r="B35" s="109" t="s">
        <v>96</v>
      </c>
      <c r="C35" s="2" t="s">
        <v>271</v>
      </c>
      <c r="D35" s="2" t="s">
        <v>272</v>
      </c>
      <c r="E35" s="2" t="s">
        <v>152</v>
      </c>
      <c r="F35" s="2">
        <v>60023</v>
      </c>
      <c r="G35" s="58">
        <f>17000-1200</f>
        <v>15800</v>
      </c>
      <c r="H35" s="58"/>
      <c r="I35" s="58"/>
      <c r="J35" s="58">
        <f>205999994+72881166</f>
        <v>278881160</v>
      </c>
      <c r="K35" s="58">
        <v>0</v>
      </c>
      <c r="L35" s="79"/>
      <c r="M35" s="93" t="s">
        <v>119</v>
      </c>
      <c r="N35" s="93" t="s">
        <v>120</v>
      </c>
      <c r="O35" s="93" t="s">
        <v>120</v>
      </c>
      <c r="P35" s="111">
        <f t="shared" si="1"/>
        <v>278881160</v>
      </c>
    </row>
    <row r="36" spans="1:16" ht="36" x14ac:dyDescent="0.3">
      <c r="A36" s="93" t="s">
        <v>69</v>
      </c>
      <c r="B36" s="94" t="s">
        <v>92</v>
      </c>
      <c r="C36" s="2" t="s">
        <v>181</v>
      </c>
      <c r="D36" s="2" t="s">
        <v>182</v>
      </c>
      <c r="E36" s="2" t="s">
        <v>183</v>
      </c>
      <c r="F36" s="2">
        <v>10023</v>
      </c>
      <c r="G36" s="58"/>
      <c r="H36" s="58"/>
      <c r="I36" s="58"/>
      <c r="J36" s="79">
        <f>+(830000000*0)+836341408</f>
        <v>836341408</v>
      </c>
      <c r="K36" s="79">
        <v>0</v>
      </c>
      <c r="L36" s="79"/>
      <c r="M36" s="93" t="s">
        <v>119</v>
      </c>
      <c r="N36" s="93" t="s">
        <v>120</v>
      </c>
      <c r="O36" s="93" t="s">
        <v>120</v>
      </c>
      <c r="P36" s="111">
        <f t="shared" si="1"/>
        <v>836341408</v>
      </c>
    </row>
    <row r="37" spans="1:16" ht="84" x14ac:dyDescent="0.3">
      <c r="A37" s="93" t="s">
        <v>70</v>
      </c>
      <c r="B37" s="2" t="s">
        <v>97</v>
      </c>
      <c r="C37" s="110" t="s">
        <v>184</v>
      </c>
      <c r="D37" s="110" t="s">
        <v>185</v>
      </c>
      <c r="E37" s="2" t="s">
        <v>183</v>
      </c>
      <c r="F37" s="2">
        <v>10023</v>
      </c>
      <c r="G37" s="58">
        <v>50</v>
      </c>
      <c r="H37" s="58"/>
      <c r="I37" s="58"/>
      <c r="J37" s="79">
        <v>0</v>
      </c>
      <c r="K37" s="79">
        <v>0</v>
      </c>
      <c r="L37" s="79"/>
      <c r="M37" s="93" t="s">
        <v>119</v>
      </c>
      <c r="N37" s="93" t="s">
        <v>120</v>
      </c>
      <c r="O37" s="93" t="s">
        <v>120</v>
      </c>
      <c r="P37" s="111">
        <f t="shared" si="1"/>
        <v>0</v>
      </c>
    </row>
    <row r="38" spans="1:16" ht="36" x14ac:dyDescent="0.3">
      <c r="A38" s="93" t="s">
        <v>71</v>
      </c>
      <c r="B38" s="94" t="s">
        <v>91</v>
      </c>
      <c r="C38" s="2" t="s">
        <v>186</v>
      </c>
      <c r="D38" s="2" t="s">
        <v>187</v>
      </c>
      <c r="E38" s="2" t="s">
        <v>183</v>
      </c>
      <c r="F38" s="2">
        <v>10023</v>
      </c>
      <c r="G38" s="58"/>
      <c r="H38" s="58"/>
      <c r="I38" s="58"/>
      <c r="J38" s="79">
        <f>415869592</f>
        <v>415869592</v>
      </c>
      <c r="K38" s="79">
        <v>0</v>
      </c>
      <c r="L38" s="79"/>
      <c r="M38" s="93" t="s">
        <v>119</v>
      </c>
      <c r="N38" s="93" t="s">
        <v>120</v>
      </c>
      <c r="O38" s="93" t="s">
        <v>120</v>
      </c>
      <c r="P38" s="111">
        <f t="shared" si="1"/>
        <v>415869592</v>
      </c>
    </row>
  </sheetData>
  <autoFilter ref="A1:P38" xr:uid="{AB3F2E16-EB92-49FE-80A9-AE4F3216A442}"/>
  <phoneticPr fontId="3"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0145-1CBB-41CE-8931-3EED18E44869}">
  <dimension ref="A1:J23"/>
  <sheetViews>
    <sheetView zoomScale="60" zoomScaleNormal="60" workbookViewId="0">
      <selection activeCell="D11" sqref="D11"/>
    </sheetView>
  </sheetViews>
  <sheetFormatPr baseColWidth="10" defaultColWidth="10.81640625" defaultRowHeight="18" x14ac:dyDescent="0.4"/>
  <cols>
    <col min="1" max="1" width="34.54296875" style="3" customWidth="1"/>
    <col min="2" max="2" width="19.453125" style="3" customWidth="1"/>
    <col min="3" max="3" width="22.81640625" style="3" customWidth="1"/>
    <col min="4" max="4" width="23.1796875" style="3" customWidth="1"/>
    <col min="5" max="5" width="19.453125" style="3" customWidth="1"/>
    <col min="6" max="7" width="21.1796875" style="3" customWidth="1"/>
    <col min="8" max="8" width="19.453125" style="3" customWidth="1"/>
    <col min="9" max="10" width="21.1796875" style="3" customWidth="1"/>
    <col min="11" max="13" width="10.7265625" style="3" customWidth="1"/>
    <col min="14" max="16384" width="10.81640625" style="3"/>
  </cols>
  <sheetData>
    <row r="1" spans="1:10" ht="18.5" thickBot="1" x14ac:dyDescent="0.45">
      <c r="B1" s="138" t="s">
        <v>197</v>
      </c>
      <c r="C1" s="139"/>
      <c r="D1" s="140"/>
      <c r="E1" s="135" t="s">
        <v>198</v>
      </c>
      <c r="F1" s="136"/>
      <c r="G1" s="137"/>
      <c r="H1" s="132" t="s">
        <v>199</v>
      </c>
      <c r="I1" s="133"/>
      <c r="J1" s="134"/>
    </row>
    <row r="2" spans="1:10" ht="36.5" thickBot="1" x14ac:dyDescent="0.45">
      <c r="A2" s="4" t="s">
        <v>101</v>
      </c>
      <c r="B2" s="5" t="s">
        <v>200</v>
      </c>
      <c r="C2" s="5" t="s">
        <v>201</v>
      </c>
      <c r="D2" s="6" t="s">
        <v>202</v>
      </c>
      <c r="E2" s="7" t="s">
        <v>200</v>
      </c>
      <c r="F2" s="7" t="s">
        <v>201</v>
      </c>
      <c r="G2" s="8" t="s">
        <v>202</v>
      </c>
      <c r="H2" s="9" t="s">
        <v>200</v>
      </c>
      <c r="I2" s="9" t="s">
        <v>201</v>
      </c>
      <c r="J2" s="10" t="s">
        <v>202</v>
      </c>
    </row>
    <row r="3" spans="1:10" ht="36" x14ac:dyDescent="0.4">
      <c r="A3" s="11" t="s">
        <v>72</v>
      </c>
      <c r="B3" s="12"/>
      <c r="C3" s="15"/>
      <c r="D3" s="13"/>
      <c r="E3" s="14">
        <v>2</v>
      </c>
      <c r="F3" s="15">
        <v>1446134524</v>
      </c>
      <c r="G3" s="13" t="s">
        <v>203</v>
      </c>
      <c r="H3" s="14">
        <v>3</v>
      </c>
      <c r="I3" s="16">
        <v>15000000</v>
      </c>
      <c r="J3" s="17" t="s">
        <v>203</v>
      </c>
    </row>
    <row r="4" spans="1:10" x14ac:dyDescent="0.4">
      <c r="A4" s="18" t="s">
        <v>73</v>
      </c>
      <c r="B4" s="19"/>
      <c r="C4" s="22"/>
      <c r="D4" s="20"/>
      <c r="E4" s="21">
        <v>7</v>
      </c>
      <c r="F4" s="22">
        <v>379000000</v>
      </c>
      <c r="G4" s="20" t="s">
        <v>203</v>
      </c>
      <c r="H4" s="21">
        <v>6</v>
      </c>
      <c r="I4" s="23">
        <v>145000000</v>
      </c>
      <c r="J4" s="24" t="s">
        <v>203</v>
      </c>
    </row>
    <row r="5" spans="1:10" x14ac:dyDescent="0.4">
      <c r="A5" s="18" t="s">
        <v>74</v>
      </c>
      <c r="B5" s="19"/>
      <c r="C5" s="22"/>
      <c r="D5" s="20"/>
      <c r="E5" s="21">
        <v>4</v>
      </c>
      <c r="F5" s="22">
        <v>1252937750</v>
      </c>
      <c r="G5" s="20" t="s">
        <v>203</v>
      </c>
      <c r="H5" s="21">
        <v>3</v>
      </c>
      <c r="I5" s="23">
        <v>160000000</v>
      </c>
      <c r="J5" s="24" t="s">
        <v>203</v>
      </c>
    </row>
    <row r="6" spans="1:10" hidden="1" x14ac:dyDescent="0.4">
      <c r="A6" s="18" t="s">
        <v>75</v>
      </c>
      <c r="B6" s="76"/>
      <c r="C6" s="76"/>
      <c r="D6" s="77"/>
      <c r="E6" s="21">
        <v>1</v>
      </c>
      <c r="F6" s="22" t="s">
        <v>203</v>
      </c>
      <c r="G6" s="20" t="s">
        <v>203</v>
      </c>
      <c r="H6" s="21">
        <v>2</v>
      </c>
      <c r="I6" s="23">
        <v>68865000</v>
      </c>
      <c r="J6" s="24" t="s">
        <v>203</v>
      </c>
    </row>
    <row r="7" spans="1:10" x14ac:dyDescent="0.4">
      <c r="A7" s="18" t="s">
        <v>76</v>
      </c>
      <c r="B7" s="19"/>
      <c r="C7" s="22"/>
      <c r="D7" s="20"/>
      <c r="E7" s="21">
        <v>3</v>
      </c>
      <c r="F7" s="22">
        <v>468600000</v>
      </c>
      <c r="G7" s="20" t="s">
        <v>203</v>
      </c>
      <c r="H7" s="21">
        <v>2</v>
      </c>
      <c r="I7" s="23">
        <v>29700000</v>
      </c>
      <c r="J7" s="24" t="s">
        <v>203</v>
      </c>
    </row>
    <row r="8" spans="1:10" hidden="1" x14ac:dyDescent="0.4">
      <c r="A8" s="18" t="s">
        <v>77</v>
      </c>
      <c r="B8" s="76"/>
      <c r="C8" s="76"/>
      <c r="D8" s="77"/>
      <c r="E8" s="21">
        <v>0</v>
      </c>
      <c r="F8" s="22" t="s">
        <v>203</v>
      </c>
      <c r="G8" s="20" t="s">
        <v>203</v>
      </c>
      <c r="H8" s="21">
        <v>3</v>
      </c>
      <c r="I8" s="23">
        <v>731500000</v>
      </c>
      <c r="J8" s="24" t="s">
        <v>203</v>
      </c>
    </row>
    <row r="9" spans="1:10" x14ac:dyDescent="0.4">
      <c r="A9" s="18" t="s">
        <v>78</v>
      </c>
      <c r="B9" s="19"/>
      <c r="C9" s="22"/>
      <c r="D9" s="20"/>
      <c r="E9" s="21">
        <v>19</v>
      </c>
      <c r="F9" s="22">
        <f>1616651787-9000000-20000000</f>
        <v>1587651787</v>
      </c>
      <c r="G9" s="20">
        <v>947000000</v>
      </c>
      <c r="H9" s="21">
        <v>14</v>
      </c>
      <c r="I9" s="23">
        <v>1133425813</v>
      </c>
      <c r="J9" s="24">
        <v>551800000</v>
      </c>
    </row>
    <row r="10" spans="1:10" x14ac:dyDescent="0.4">
      <c r="A10" s="18" t="s">
        <v>204</v>
      </c>
      <c r="B10" s="19"/>
      <c r="C10" s="22"/>
      <c r="D10" s="20"/>
      <c r="E10" s="21">
        <v>10</v>
      </c>
      <c r="F10" s="22">
        <v>1029545000</v>
      </c>
      <c r="G10" s="20">
        <v>10000000</v>
      </c>
      <c r="H10" s="21">
        <v>9</v>
      </c>
      <c r="I10" s="23">
        <v>141000000</v>
      </c>
      <c r="J10" s="24" t="s">
        <v>203</v>
      </c>
    </row>
    <row r="11" spans="1:10" x14ac:dyDescent="0.4">
      <c r="A11" s="18" t="s">
        <v>79</v>
      </c>
      <c r="B11" s="19"/>
      <c r="C11" s="22"/>
      <c r="D11" s="20"/>
      <c r="E11" s="21">
        <v>3</v>
      </c>
      <c r="F11" s="22">
        <v>55000000</v>
      </c>
      <c r="G11" s="20">
        <v>69000000</v>
      </c>
      <c r="H11" s="21">
        <v>6</v>
      </c>
      <c r="I11" s="23">
        <v>72000000</v>
      </c>
      <c r="J11" s="24">
        <v>84160000</v>
      </c>
    </row>
    <row r="12" spans="1:10" ht="36.5" hidden="1" thickBot="1" x14ac:dyDescent="0.45">
      <c r="A12" s="25" t="s">
        <v>205</v>
      </c>
      <c r="B12" s="26" t="s">
        <v>203</v>
      </c>
      <c r="C12" s="27" t="s">
        <v>203</v>
      </c>
      <c r="D12" s="28" t="s">
        <v>203</v>
      </c>
      <c r="E12" s="29">
        <v>0</v>
      </c>
      <c r="F12" s="27" t="s">
        <v>203</v>
      </c>
      <c r="G12" s="28" t="s">
        <v>203</v>
      </c>
      <c r="H12" s="29">
        <v>1</v>
      </c>
      <c r="I12" s="30" t="s">
        <v>203</v>
      </c>
      <c r="J12" s="31" t="s">
        <v>203</v>
      </c>
    </row>
    <row r="13" spans="1:10" x14ac:dyDescent="0.4">
      <c r="A13" s="32" t="s">
        <v>80</v>
      </c>
      <c r="B13" s="32">
        <f t="shared" ref="B13:G13" si="0">SUM(B3:B12)</f>
        <v>0</v>
      </c>
      <c r="C13" s="33">
        <f t="shared" si="0"/>
        <v>0</v>
      </c>
      <c r="D13" s="33">
        <f t="shared" si="0"/>
        <v>0</v>
      </c>
      <c r="E13" s="34">
        <f t="shared" si="0"/>
        <v>49</v>
      </c>
      <c r="F13" s="35">
        <f t="shared" si="0"/>
        <v>6218869061</v>
      </c>
      <c r="G13" s="35">
        <f t="shared" si="0"/>
        <v>1026000000</v>
      </c>
      <c r="H13" s="36">
        <f t="shared" ref="H13:J13" si="1">SUM(H3:H12)</f>
        <v>49</v>
      </c>
      <c r="I13" s="37">
        <f t="shared" si="1"/>
        <v>2496490813</v>
      </c>
      <c r="J13" s="37">
        <f t="shared" si="1"/>
        <v>635960000</v>
      </c>
    </row>
    <row r="14" spans="1:10" ht="36.5" thickBot="1" x14ac:dyDescent="0.45">
      <c r="A14" s="38" t="s">
        <v>206</v>
      </c>
      <c r="B14" s="39"/>
      <c r="C14" s="40"/>
      <c r="D14" s="41">
        <f>+C13+D13</f>
        <v>0</v>
      </c>
      <c r="E14" s="42"/>
      <c r="F14" s="43"/>
      <c r="G14" s="44">
        <f>+F13+G13</f>
        <v>7244869061</v>
      </c>
      <c r="H14" s="45"/>
      <c r="I14" s="46"/>
      <c r="J14" s="47">
        <f>+I13+J13</f>
        <v>3132450813</v>
      </c>
    </row>
    <row r="17" spans="1:6" ht="18.5" thickBot="1" x14ac:dyDescent="0.45"/>
    <row r="18" spans="1:6" ht="54" x14ac:dyDescent="0.4">
      <c r="A18" s="62" t="s">
        <v>189</v>
      </c>
      <c r="B18" s="63" t="s">
        <v>190</v>
      </c>
      <c r="C18" s="63" t="s">
        <v>108</v>
      </c>
      <c r="D18" s="63" t="s">
        <v>109</v>
      </c>
      <c r="E18" s="64" t="s">
        <v>110</v>
      </c>
    </row>
    <row r="19" spans="1:6" x14ac:dyDescent="0.4">
      <c r="A19" s="65" t="s">
        <v>66</v>
      </c>
      <c r="B19" s="72">
        <v>1</v>
      </c>
      <c r="C19" s="72">
        <v>700</v>
      </c>
      <c r="D19" s="66">
        <v>869325000</v>
      </c>
      <c r="E19" s="67">
        <v>0</v>
      </c>
    </row>
    <row r="20" spans="1:6" x14ac:dyDescent="0.4">
      <c r="A20" s="65" t="s">
        <v>68</v>
      </c>
      <c r="B20" s="72">
        <v>30</v>
      </c>
      <c r="C20" s="72">
        <v>7333</v>
      </c>
      <c r="D20" s="66">
        <v>6929492971</v>
      </c>
      <c r="E20" s="67">
        <v>112329596</v>
      </c>
    </row>
    <row r="21" spans="1:6" x14ac:dyDescent="0.4">
      <c r="A21" s="65" t="s">
        <v>67</v>
      </c>
      <c r="B21" s="72">
        <v>3</v>
      </c>
      <c r="C21" s="72">
        <v>1310</v>
      </c>
      <c r="D21" s="66">
        <v>160000000</v>
      </c>
      <c r="E21" s="67">
        <v>0</v>
      </c>
    </row>
    <row r="22" spans="1:6" x14ac:dyDescent="0.4">
      <c r="A22" s="65" t="s">
        <v>69</v>
      </c>
      <c r="B22" s="72">
        <v>2</v>
      </c>
      <c r="C22" s="72">
        <v>15840</v>
      </c>
      <c r="D22" s="66">
        <v>429728960</v>
      </c>
      <c r="E22" s="67">
        <v>0</v>
      </c>
    </row>
    <row r="23" spans="1:6" ht="18.5" thickBot="1" x14ac:dyDescent="0.45">
      <c r="A23" s="74" t="s">
        <v>100</v>
      </c>
      <c r="B23" s="73">
        <f>SUM(B19:B22)</f>
        <v>36</v>
      </c>
      <c r="C23" s="73">
        <f>SUM(C19:C22)</f>
        <v>25183</v>
      </c>
      <c r="D23" s="68">
        <f>SUM(D19:D22)</f>
        <v>8388546931</v>
      </c>
      <c r="E23" s="69">
        <f>SUM(E19:E22)</f>
        <v>112329596</v>
      </c>
      <c r="F23" s="75">
        <f>+D23+E23</f>
        <v>8500876527</v>
      </c>
    </row>
  </sheetData>
  <mergeCells count="3">
    <mergeCell ref="H1:J1"/>
    <mergeCell ref="E1:G1"/>
    <mergeCell ref="B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043D-426C-43F7-998D-5894418E4606}">
  <dimension ref="A1:G41"/>
  <sheetViews>
    <sheetView topLeftCell="A37" zoomScale="70" zoomScaleNormal="70" workbookViewId="0">
      <selection activeCell="C1" sqref="C1"/>
    </sheetView>
  </sheetViews>
  <sheetFormatPr baseColWidth="10" defaultColWidth="8.7265625" defaultRowHeight="14.5" x14ac:dyDescent="0.35"/>
  <cols>
    <col min="1" max="1" width="8.7265625" style="87"/>
    <col min="2" max="2" width="15.81640625" style="80" customWidth="1"/>
    <col min="3" max="3" width="25.81640625" style="80" customWidth="1"/>
    <col min="4" max="4" width="40.453125" style="80" customWidth="1"/>
    <col min="5" max="5" width="14.54296875" style="87" customWidth="1"/>
    <col min="6" max="6" width="13.81640625" style="80" bestFit="1" customWidth="1"/>
    <col min="7" max="7" width="14.453125" style="80" customWidth="1"/>
    <col min="8" max="16384" width="8.7265625" style="80"/>
  </cols>
  <sheetData>
    <row r="1" spans="1:7" ht="29" x14ac:dyDescent="0.35">
      <c r="A1" s="87">
        <v>0</v>
      </c>
      <c r="B1" s="81" t="s">
        <v>207</v>
      </c>
      <c r="C1" s="81" t="s">
        <v>104</v>
      </c>
      <c r="D1" s="81" t="s">
        <v>105</v>
      </c>
      <c r="E1" s="82" t="s">
        <v>188</v>
      </c>
      <c r="F1" s="81" t="s">
        <v>109</v>
      </c>
      <c r="G1" s="81" t="s">
        <v>110</v>
      </c>
    </row>
    <row r="2" spans="1:7" ht="72.5" x14ac:dyDescent="0.35">
      <c r="A2" s="87">
        <v>1</v>
      </c>
      <c r="B2" s="83" t="s">
        <v>86</v>
      </c>
      <c r="C2" s="84" t="s">
        <v>208</v>
      </c>
      <c r="D2" s="84" t="s">
        <v>209</v>
      </c>
      <c r="E2" s="86">
        <v>440</v>
      </c>
      <c r="F2" s="85">
        <v>425059704</v>
      </c>
      <c r="G2" s="85">
        <v>0</v>
      </c>
    </row>
    <row r="3" spans="1:7" ht="72.5" x14ac:dyDescent="0.35">
      <c r="A3" s="87">
        <v>2</v>
      </c>
      <c r="B3" s="84" t="s">
        <v>93</v>
      </c>
      <c r="C3" s="84" t="s">
        <v>210</v>
      </c>
      <c r="D3" s="84" t="s">
        <v>126</v>
      </c>
      <c r="E3" s="86">
        <v>152</v>
      </c>
      <c r="F3" s="85">
        <f>431000000+974940296+31862064</f>
        <v>1437802360</v>
      </c>
      <c r="G3" s="85">
        <v>0</v>
      </c>
    </row>
    <row r="4" spans="1:7" ht="145" x14ac:dyDescent="0.35">
      <c r="A4" s="87">
        <v>2</v>
      </c>
      <c r="B4" s="84" t="s">
        <v>93</v>
      </c>
      <c r="C4" s="84" t="s">
        <v>127</v>
      </c>
      <c r="D4" s="84" t="s">
        <v>211</v>
      </c>
      <c r="E4" s="86">
        <v>0</v>
      </c>
      <c r="F4" s="85">
        <v>897863640</v>
      </c>
      <c r="G4" s="85">
        <v>0</v>
      </c>
    </row>
    <row r="5" spans="1:7" ht="130.5" x14ac:dyDescent="0.35">
      <c r="A5" s="87">
        <v>3</v>
      </c>
      <c r="B5" s="83" t="s">
        <v>94</v>
      </c>
      <c r="C5" s="84" t="s">
        <v>194</v>
      </c>
      <c r="D5" s="84" t="s">
        <v>212</v>
      </c>
      <c r="E5" s="86">
        <v>10</v>
      </c>
      <c r="F5" s="85">
        <f>(243900000*0)+82000000</f>
        <v>82000000</v>
      </c>
      <c r="G5" s="85">
        <v>0</v>
      </c>
    </row>
    <row r="6" spans="1:7" ht="43.5" x14ac:dyDescent="0.35">
      <c r="A6" s="87">
        <v>4</v>
      </c>
      <c r="B6" s="83" t="s">
        <v>95</v>
      </c>
      <c r="C6" s="84" t="s">
        <v>193</v>
      </c>
      <c r="D6" s="84" t="s">
        <v>213</v>
      </c>
      <c r="E6" s="86">
        <v>200</v>
      </c>
      <c r="F6" s="85">
        <v>110000000</v>
      </c>
      <c r="G6" s="85">
        <v>0</v>
      </c>
    </row>
    <row r="7" spans="1:7" ht="72.5" x14ac:dyDescent="0.35">
      <c r="A7" s="87">
        <v>5</v>
      </c>
      <c r="B7" s="83" t="s">
        <v>96</v>
      </c>
      <c r="C7" s="84" t="s">
        <v>144</v>
      </c>
      <c r="D7" s="84" t="s">
        <v>214</v>
      </c>
      <c r="E7" s="86">
        <v>300</v>
      </c>
      <c r="F7" s="85">
        <v>150000000</v>
      </c>
      <c r="G7" s="85">
        <v>0</v>
      </c>
    </row>
    <row r="8" spans="1:7" ht="72.5" x14ac:dyDescent="0.35">
      <c r="A8" s="87">
        <v>5</v>
      </c>
      <c r="B8" s="83" t="s">
        <v>96</v>
      </c>
      <c r="C8" s="84" t="s">
        <v>147</v>
      </c>
      <c r="D8" s="84" t="s">
        <v>215</v>
      </c>
      <c r="E8" s="86">
        <v>12</v>
      </c>
      <c r="F8" s="85">
        <f>30000000</f>
        <v>30000000</v>
      </c>
      <c r="G8" s="85">
        <v>0</v>
      </c>
    </row>
    <row r="9" spans="1:7" ht="72.5" x14ac:dyDescent="0.35">
      <c r="A9" s="87">
        <v>5</v>
      </c>
      <c r="B9" s="83" t="s">
        <v>96</v>
      </c>
      <c r="C9" s="84" t="s">
        <v>148</v>
      </c>
      <c r="D9" s="84" t="s">
        <v>216</v>
      </c>
      <c r="E9" s="86">
        <v>11</v>
      </c>
      <c r="F9" s="85">
        <v>70000000</v>
      </c>
      <c r="G9" s="85">
        <v>0</v>
      </c>
    </row>
    <row r="10" spans="1:7" ht="130.5" x14ac:dyDescent="0.35">
      <c r="A10" s="87">
        <v>5</v>
      </c>
      <c r="B10" s="83" t="s">
        <v>96</v>
      </c>
      <c r="C10" s="84" t="s">
        <v>149</v>
      </c>
      <c r="D10" s="84" t="s">
        <v>217</v>
      </c>
      <c r="E10" s="86">
        <v>15</v>
      </c>
      <c r="F10" s="85">
        <v>49600000</v>
      </c>
      <c r="G10" s="85">
        <v>0</v>
      </c>
    </row>
    <row r="11" spans="1:7" ht="72.5" x14ac:dyDescent="0.35">
      <c r="A11" s="87">
        <v>5</v>
      </c>
      <c r="B11" s="83" t="s">
        <v>96</v>
      </c>
      <c r="C11" s="84" t="s">
        <v>192</v>
      </c>
      <c r="D11" s="84" t="s">
        <v>218</v>
      </c>
      <c r="E11" s="86"/>
      <c r="F11" s="85">
        <v>85000000</v>
      </c>
      <c r="G11" s="85">
        <v>0</v>
      </c>
    </row>
    <row r="12" spans="1:7" ht="130.5" x14ac:dyDescent="0.35">
      <c r="A12" s="87">
        <v>5</v>
      </c>
      <c r="B12" s="83" t="s">
        <v>96</v>
      </c>
      <c r="C12" s="84" t="s">
        <v>161</v>
      </c>
      <c r="D12" s="84" t="s">
        <v>219</v>
      </c>
      <c r="E12" s="86">
        <v>700</v>
      </c>
      <c r="F12" s="85">
        <f>((869325000+120705000)*0)+641505000-82000000</f>
        <v>559505000</v>
      </c>
      <c r="G12" s="85">
        <v>0</v>
      </c>
    </row>
    <row r="13" spans="1:7" ht="58" x14ac:dyDescent="0.35">
      <c r="A13" s="87">
        <v>5</v>
      </c>
      <c r="B13" s="83" t="s">
        <v>96</v>
      </c>
      <c r="C13" s="84" t="s">
        <v>180</v>
      </c>
      <c r="D13" s="84" t="s">
        <v>220</v>
      </c>
      <c r="E13" s="86">
        <f>17000-1200</f>
        <v>15800</v>
      </c>
      <c r="F13" s="85">
        <f>205999994+72881166</f>
        <v>278881160</v>
      </c>
      <c r="G13" s="85">
        <v>0</v>
      </c>
    </row>
    <row r="14" spans="1:7" ht="145" x14ac:dyDescent="0.35">
      <c r="A14" s="87">
        <v>7</v>
      </c>
      <c r="B14" s="83" t="s">
        <v>97</v>
      </c>
      <c r="C14" s="84" t="s">
        <v>162</v>
      </c>
      <c r="D14" s="84" t="s">
        <v>221</v>
      </c>
      <c r="E14" s="86">
        <v>500</v>
      </c>
      <c r="F14" s="85">
        <f>+(7680000*0)+82800000</f>
        <v>82800000</v>
      </c>
      <c r="G14" s="85">
        <v>0</v>
      </c>
    </row>
    <row r="15" spans="1:7" ht="145" x14ac:dyDescent="0.35">
      <c r="A15" s="87">
        <v>7</v>
      </c>
      <c r="B15" s="84" t="s">
        <v>97</v>
      </c>
      <c r="C15" s="84" t="s">
        <v>164</v>
      </c>
      <c r="D15" s="84" t="s">
        <v>222</v>
      </c>
      <c r="E15" s="86">
        <v>350</v>
      </c>
      <c r="F15" s="85">
        <v>119000000</v>
      </c>
      <c r="G15" s="85">
        <v>0</v>
      </c>
    </row>
    <row r="16" spans="1:7" ht="145" x14ac:dyDescent="0.35">
      <c r="A16" s="87">
        <v>7</v>
      </c>
      <c r="B16" s="84" t="s">
        <v>97</v>
      </c>
      <c r="C16" s="84" t="s">
        <v>166</v>
      </c>
      <c r="D16" s="84" t="s">
        <v>223</v>
      </c>
      <c r="E16" s="86">
        <v>50</v>
      </c>
      <c r="F16" s="85">
        <f>((84000000+57000000)*0)+225000000</f>
        <v>225000000</v>
      </c>
      <c r="G16" s="85">
        <v>0</v>
      </c>
    </row>
    <row r="17" spans="1:7" ht="87" x14ac:dyDescent="0.35">
      <c r="A17" s="87">
        <v>9</v>
      </c>
      <c r="B17" s="83" t="s">
        <v>98</v>
      </c>
      <c r="C17" s="84" t="s">
        <v>224</v>
      </c>
      <c r="D17" s="83" t="s">
        <v>225</v>
      </c>
      <c r="E17" s="86"/>
      <c r="F17" s="85">
        <f>129826024+31580000</f>
        <v>161406024</v>
      </c>
      <c r="G17" s="85">
        <v>0</v>
      </c>
    </row>
    <row r="18" spans="1:7" ht="72.5" x14ac:dyDescent="0.35">
      <c r="A18" s="87">
        <v>9</v>
      </c>
      <c r="B18" s="83" t="s">
        <v>98</v>
      </c>
      <c r="C18" s="84" t="s">
        <v>174</v>
      </c>
      <c r="D18" s="84" t="s">
        <v>226</v>
      </c>
      <c r="E18" s="86">
        <v>700</v>
      </c>
      <c r="F18" s="85">
        <v>73000000</v>
      </c>
      <c r="G18" s="85">
        <v>0</v>
      </c>
    </row>
    <row r="19" spans="1:7" ht="87" x14ac:dyDescent="0.35">
      <c r="A19" s="87">
        <v>9</v>
      </c>
      <c r="B19" s="83" t="s">
        <v>98</v>
      </c>
      <c r="C19" s="84" t="s">
        <v>175</v>
      </c>
      <c r="D19" s="84" t="s">
        <v>227</v>
      </c>
      <c r="E19" s="86"/>
      <c r="F19" s="85">
        <v>74000000</v>
      </c>
      <c r="G19" s="85">
        <v>0</v>
      </c>
    </row>
    <row r="20" spans="1:7" ht="72.5" x14ac:dyDescent="0.35">
      <c r="A20" s="87">
        <v>9</v>
      </c>
      <c r="B20" s="83" t="s">
        <v>98</v>
      </c>
      <c r="C20" s="84" t="s">
        <v>228</v>
      </c>
      <c r="D20" s="84" t="s">
        <v>229</v>
      </c>
      <c r="E20" s="86">
        <v>1000</v>
      </c>
      <c r="F20" s="85">
        <v>0</v>
      </c>
      <c r="G20" s="85">
        <v>0</v>
      </c>
    </row>
    <row r="21" spans="1:7" ht="101.5" x14ac:dyDescent="0.35">
      <c r="A21" s="87">
        <v>9</v>
      </c>
      <c r="B21" s="83" t="s">
        <v>98</v>
      </c>
      <c r="C21" s="84" t="s">
        <v>177</v>
      </c>
      <c r="D21" s="84" t="s">
        <v>230</v>
      </c>
      <c r="E21" s="86"/>
      <c r="F21" s="85">
        <f>180800000</f>
        <v>180800000</v>
      </c>
      <c r="G21" s="85">
        <v>0</v>
      </c>
    </row>
    <row r="22" spans="1:7" ht="101.5" x14ac:dyDescent="0.35">
      <c r="A22" s="87">
        <v>9</v>
      </c>
      <c r="B22" s="83" t="s">
        <v>98</v>
      </c>
      <c r="C22" s="84" t="s">
        <v>177</v>
      </c>
      <c r="D22" s="84" t="s">
        <v>231</v>
      </c>
      <c r="E22" s="86"/>
      <c r="F22" s="85">
        <f>84033000+12000000</f>
        <v>96033000</v>
      </c>
      <c r="G22" s="85">
        <v>0</v>
      </c>
    </row>
    <row r="23" spans="1:7" ht="130.5" x14ac:dyDescent="0.35">
      <c r="A23" s="87">
        <v>10</v>
      </c>
      <c r="B23" s="83" t="s">
        <v>87</v>
      </c>
      <c r="C23" s="84" t="s">
        <v>139</v>
      </c>
      <c r="D23" s="84" t="s">
        <v>232</v>
      </c>
      <c r="E23" s="86">
        <v>500</v>
      </c>
      <c r="F23" s="85">
        <v>15000000</v>
      </c>
      <c r="G23" s="85">
        <v>0</v>
      </c>
    </row>
    <row r="24" spans="1:7" ht="130.5" x14ac:dyDescent="0.35">
      <c r="A24" s="87">
        <v>10</v>
      </c>
      <c r="B24" s="83" t="s">
        <v>87</v>
      </c>
      <c r="C24" s="84" t="s">
        <v>155</v>
      </c>
      <c r="D24" s="84" t="s">
        <v>156</v>
      </c>
      <c r="E24" s="86">
        <v>0</v>
      </c>
      <c r="F24" s="85">
        <v>156000000</v>
      </c>
      <c r="G24" s="85">
        <v>0</v>
      </c>
    </row>
    <row r="25" spans="1:7" ht="217.5" x14ac:dyDescent="0.35">
      <c r="A25" s="87">
        <v>11</v>
      </c>
      <c r="B25" s="83" t="s">
        <v>88</v>
      </c>
      <c r="C25" s="84" t="s">
        <v>191</v>
      </c>
      <c r="D25" s="84" t="s">
        <v>233</v>
      </c>
      <c r="E25" s="86">
        <v>1500</v>
      </c>
      <c r="F25" s="85">
        <v>900000000</v>
      </c>
      <c r="G25" s="85">
        <f>(100000000*0)+50000000</f>
        <v>50000000</v>
      </c>
    </row>
    <row r="26" spans="1:7" ht="72.5" x14ac:dyDescent="0.35">
      <c r="A26" s="87">
        <v>12</v>
      </c>
      <c r="B26" s="83" t="s">
        <v>234</v>
      </c>
      <c r="C26" s="84" t="s">
        <v>235</v>
      </c>
      <c r="D26" s="84" t="s">
        <v>236</v>
      </c>
      <c r="E26" s="86">
        <v>100</v>
      </c>
      <c r="F26" s="85">
        <v>0</v>
      </c>
      <c r="G26" s="85">
        <v>0</v>
      </c>
    </row>
    <row r="27" spans="1:7" ht="130.5" x14ac:dyDescent="0.35">
      <c r="A27" s="87">
        <v>13</v>
      </c>
      <c r="B27" s="83" t="s">
        <v>89</v>
      </c>
      <c r="C27" s="84" t="s">
        <v>131</v>
      </c>
      <c r="D27" s="84" t="s">
        <v>132</v>
      </c>
      <c r="E27" s="86">
        <v>30</v>
      </c>
      <c r="F27" s="85">
        <v>35500000</v>
      </c>
      <c r="G27" s="85">
        <v>0</v>
      </c>
    </row>
    <row r="28" spans="1:7" ht="159.5" x14ac:dyDescent="0.35">
      <c r="A28" s="87">
        <v>13</v>
      </c>
      <c r="B28" s="83" t="s">
        <v>89</v>
      </c>
      <c r="C28" s="84" t="s">
        <v>237</v>
      </c>
      <c r="D28" s="84" t="s">
        <v>238</v>
      </c>
      <c r="E28" s="86">
        <v>40</v>
      </c>
      <c r="F28" s="85">
        <f>(431100000*0)+544100000</f>
        <v>544100000</v>
      </c>
      <c r="G28" s="85">
        <v>0</v>
      </c>
    </row>
    <row r="29" spans="1:7" ht="87" x14ac:dyDescent="0.35">
      <c r="A29" s="87">
        <v>13</v>
      </c>
      <c r="B29" s="83" t="s">
        <v>89</v>
      </c>
      <c r="C29" s="84" t="s">
        <v>135</v>
      </c>
      <c r="D29" s="84" t="s">
        <v>136</v>
      </c>
      <c r="E29" s="86">
        <v>100</v>
      </c>
      <c r="F29" s="85">
        <v>56000000</v>
      </c>
      <c r="G29" s="85">
        <v>0</v>
      </c>
    </row>
    <row r="30" spans="1:7" ht="174" x14ac:dyDescent="0.35">
      <c r="A30" s="87">
        <v>14</v>
      </c>
      <c r="B30" s="83" t="s">
        <v>90</v>
      </c>
      <c r="C30" s="84" t="s">
        <v>239</v>
      </c>
      <c r="D30" s="84" t="s">
        <v>240</v>
      </c>
      <c r="E30" s="86">
        <v>10</v>
      </c>
      <c r="F30" s="85">
        <v>150000000</v>
      </c>
      <c r="G30" s="85">
        <v>0</v>
      </c>
    </row>
    <row r="31" spans="1:7" ht="101.5" x14ac:dyDescent="0.35">
      <c r="A31" s="87">
        <v>14</v>
      </c>
      <c r="B31" s="83" t="s">
        <v>90</v>
      </c>
      <c r="C31" s="84" t="s">
        <v>121</v>
      </c>
      <c r="D31" s="84" t="s">
        <v>241</v>
      </c>
      <c r="E31" s="86">
        <v>15</v>
      </c>
      <c r="F31" s="85">
        <v>66000000</v>
      </c>
      <c r="G31" s="85">
        <v>0</v>
      </c>
    </row>
    <row r="32" spans="1:7" ht="101.5" x14ac:dyDescent="0.35">
      <c r="A32" s="87">
        <v>14</v>
      </c>
      <c r="B32" s="83" t="s">
        <v>90</v>
      </c>
      <c r="C32" s="84" t="s">
        <v>242</v>
      </c>
      <c r="D32" s="84" t="s">
        <v>243</v>
      </c>
      <c r="E32" s="86">
        <v>10</v>
      </c>
      <c r="F32" s="85">
        <v>0</v>
      </c>
      <c r="G32" s="85">
        <v>0</v>
      </c>
    </row>
    <row r="33" spans="1:7" ht="174" x14ac:dyDescent="0.35">
      <c r="A33" s="87">
        <v>14</v>
      </c>
      <c r="B33" s="83" t="s">
        <v>90</v>
      </c>
      <c r="C33" s="84" t="s">
        <v>123</v>
      </c>
      <c r="D33" s="84" t="s">
        <v>244</v>
      </c>
      <c r="E33" s="86">
        <v>70</v>
      </c>
      <c r="F33" s="85">
        <f>53500000-31862064</f>
        <v>21637936</v>
      </c>
      <c r="G33" s="85">
        <v>0</v>
      </c>
    </row>
    <row r="34" spans="1:7" ht="130.5" x14ac:dyDescent="0.35">
      <c r="A34" s="87">
        <v>14</v>
      </c>
      <c r="B34" s="83" t="s">
        <v>90</v>
      </c>
      <c r="C34" s="84" t="s">
        <v>137</v>
      </c>
      <c r="D34" s="84" t="s">
        <v>245</v>
      </c>
      <c r="E34" s="86">
        <v>20</v>
      </c>
      <c r="F34" s="85">
        <v>38000000</v>
      </c>
      <c r="G34" s="85">
        <v>0</v>
      </c>
    </row>
    <row r="35" spans="1:7" ht="87" x14ac:dyDescent="0.35">
      <c r="A35" s="87">
        <v>14</v>
      </c>
      <c r="B35" s="83" t="s">
        <v>90</v>
      </c>
      <c r="C35" s="84" t="s">
        <v>143</v>
      </c>
      <c r="D35" s="84" t="s">
        <v>246</v>
      </c>
      <c r="E35" s="86">
        <v>550</v>
      </c>
      <c r="F35" s="85">
        <v>20000000</v>
      </c>
      <c r="G35" s="85">
        <v>0</v>
      </c>
    </row>
    <row r="36" spans="1:7" ht="116" x14ac:dyDescent="0.35">
      <c r="A36" s="87">
        <v>15</v>
      </c>
      <c r="B36" s="83" t="s">
        <v>91</v>
      </c>
      <c r="C36" s="84" t="s">
        <v>247</v>
      </c>
      <c r="D36" s="84" t="s">
        <v>248</v>
      </c>
      <c r="E36" s="86">
        <v>1320</v>
      </c>
      <c r="F36" s="85">
        <v>0</v>
      </c>
      <c r="G36" s="85">
        <v>87800000</v>
      </c>
    </row>
    <row r="37" spans="1:7" ht="116" x14ac:dyDescent="0.35">
      <c r="A37" s="87">
        <v>15</v>
      </c>
      <c r="B37" s="83" t="s">
        <v>91</v>
      </c>
      <c r="C37" s="84" t="s">
        <v>187</v>
      </c>
      <c r="D37" s="84" t="s">
        <v>249</v>
      </c>
      <c r="E37" s="86"/>
      <c r="F37" s="85">
        <f>415869592</f>
        <v>415869592</v>
      </c>
      <c r="G37" s="85">
        <v>0</v>
      </c>
    </row>
    <row r="38" spans="1:7" ht="101.5" x14ac:dyDescent="0.35">
      <c r="A38" s="87">
        <v>16</v>
      </c>
      <c r="B38" s="83" t="s">
        <v>92</v>
      </c>
      <c r="C38" s="84" t="s">
        <v>196</v>
      </c>
      <c r="D38" s="84" t="s">
        <v>169</v>
      </c>
      <c r="E38" s="86">
        <v>10</v>
      </c>
      <c r="F38" s="85">
        <v>61000000</v>
      </c>
      <c r="G38" s="85">
        <v>0</v>
      </c>
    </row>
    <row r="39" spans="1:7" ht="72.5" x14ac:dyDescent="0.35">
      <c r="A39" s="87">
        <v>16</v>
      </c>
      <c r="B39" s="83" t="s">
        <v>92</v>
      </c>
      <c r="C39" s="84" t="s">
        <v>195</v>
      </c>
      <c r="D39" s="84" t="s">
        <v>250</v>
      </c>
      <c r="E39" s="86">
        <v>100</v>
      </c>
      <c r="F39" s="85">
        <f>60000000+39000000</f>
        <v>99000000</v>
      </c>
      <c r="G39" s="85">
        <v>0</v>
      </c>
    </row>
    <row r="40" spans="1:7" ht="58" x14ac:dyDescent="0.35">
      <c r="A40" s="87">
        <v>16</v>
      </c>
      <c r="B40" s="83" t="s">
        <v>92</v>
      </c>
      <c r="C40" s="84" t="s">
        <v>251</v>
      </c>
      <c r="D40" s="84" t="s">
        <v>252</v>
      </c>
      <c r="E40" s="86">
        <f>1200</f>
        <v>1200</v>
      </c>
      <c r="F40" s="85">
        <v>0</v>
      </c>
      <c r="G40" s="85">
        <v>0</v>
      </c>
    </row>
    <row r="41" spans="1:7" ht="101.5" x14ac:dyDescent="0.35">
      <c r="A41" s="87">
        <v>16</v>
      </c>
      <c r="B41" s="83" t="s">
        <v>92</v>
      </c>
      <c r="C41" s="84" t="s">
        <v>182</v>
      </c>
      <c r="D41" s="84" t="s">
        <v>253</v>
      </c>
      <c r="E41" s="86"/>
      <c r="F41" s="85">
        <f>+(830000000*0)+836341408</f>
        <v>836341408</v>
      </c>
      <c r="G41" s="85">
        <v>0</v>
      </c>
    </row>
  </sheetData>
  <sortState xmlns:xlrd2="http://schemas.microsoft.com/office/spreadsheetml/2017/richdata2" ref="A2:G41">
    <sortCondition ref="A2:A41"/>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OKR KR</vt:lpstr>
      <vt:lpstr>Palancas II</vt:lpstr>
      <vt:lpstr>PAT 2023</vt:lpstr>
      <vt:lpstr>Consolidado</vt:lpstr>
      <vt:lpstr>Detalle 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Fontalvo Balza</dc:creator>
  <cp:keywords/>
  <dc:description/>
  <cp:lastModifiedBy>David Fontalvo Balza</cp:lastModifiedBy>
  <cp:revision/>
  <dcterms:created xsi:type="dcterms:W3CDTF">2022-12-06T15:18:39Z</dcterms:created>
  <dcterms:modified xsi:type="dcterms:W3CDTF">2023-04-13T15:16:06Z</dcterms:modified>
  <cp:category/>
  <cp:contentStatus/>
</cp:coreProperties>
</file>